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ss\Desktop\LIMPEZA CHAPECO E CRICIUMA\"/>
    </mc:Choice>
  </mc:AlternateContent>
  <bookViews>
    <workbookView xWindow="0" yWindow="0" windowWidth="28800" windowHeight="11835" tabRatio="833" activeTab="2"/>
  </bookViews>
  <sheets>
    <sheet name="MC" sheetId="1" r:id="rId1"/>
    <sheet name="Insumos" sheetId="2" r:id="rId2"/>
    <sheet name="Resumo Proposta" sheetId="3" r:id="rId3"/>
    <sheet name="Prod. GEXCHA" sheetId="4" r:id="rId4"/>
    <sheet name="GEXCHA Limp.Ord. " sheetId="5" r:id="rId5"/>
    <sheet name="GEXCHA Covid  " sheetId="6" r:id="rId6"/>
    <sheet name="GEXCHA Limp.Ord. APS Porto U." sheetId="10" r:id="rId7"/>
    <sheet name="GEXCHA Covid APS Porto União" sheetId="11" r:id="rId8"/>
    <sheet name="Prod. GEXCRI" sheetId="7" r:id="rId9"/>
    <sheet name="GEXCRI Limp.Ord. " sheetId="8" r:id="rId10"/>
    <sheet name="GEXCRI Covid " sheetId="9" r:id="rId11"/>
  </sheets>
  <definedNames>
    <definedName name="_xlnm._FilterDatabase" localSheetId="3">'Prod. GEXCHA'!$A$2:$T$2</definedName>
    <definedName name="_xlnm._FilterDatabase" localSheetId="8">'Prod. GEXCRI'!$A$2:$T$2</definedName>
    <definedName name="Print_Area" localSheetId="5">'GEXCHA Covid  '!$A$1:$D$137</definedName>
    <definedName name="Print_Area" localSheetId="7">'GEXCHA Covid APS Porto União'!$A$1:$D$137</definedName>
    <definedName name="Print_Area" localSheetId="4">'GEXCHA Limp.Ord. '!$A$1:$D$176</definedName>
    <definedName name="Print_Area" localSheetId="6">'GEXCHA Limp.Ord. APS Porto U.'!$A$1:$D$155</definedName>
    <definedName name="Print_Area" localSheetId="10">'GEXCRI Covid '!$A$1:$D$137</definedName>
    <definedName name="Print_Area" localSheetId="9">'GEXCRI Limp.Ord. '!$A$1:$D$174</definedName>
    <definedName name="Print_Area" localSheetId="0">MC!$A$3:$V$23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9" i="7" l="1"/>
  <c r="B42" i="11"/>
  <c r="C5" i="6"/>
  <c r="E40" i="10" l="1"/>
  <c r="D40" i="10"/>
  <c r="C40" i="10"/>
  <c r="F40" i="10"/>
  <c r="B42" i="10"/>
  <c r="B38" i="10"/>
  <c r="F5" i="10"/>
  <c r="F105" i="10"/>
  <c r="B96" i="10"/>
  <c r="B95" i="10"/>
  <c r="C6" i="10"/>
  <c r="C7" i="10"/>
  <c r="E5" i="10"/>
  <c r="C5" i="10"/>
  <c r="F78" i="10"/>
  <c r="E78" i="10"/>
  <c r="D78" i="10"/>
  <c r="B78" i="10"/>
  <c r="B74" i="10"/>
  <c r="B79" i="10" s="1"/>
  <c r="C72" i="10"/>
  <c r="C78" i="10" s="1"/>
  <c r="B67" i="10"/>
  <c r="B66" i="10"/>
  <c r="B64" i="10"/>
  <c r="B59" i="10"/>
  <c r="B57" i="10"/>
  <c r="B54" i="10"/>
  <c r="B40" i="10"/>
  <c r="B36" i="10"/>
  <c r="B24" i="10"/>
  <c r="B23" i="10"/>
  <c r="F13" i="10"/>
  <c r="E13" i="10"/>
  <c r="C13" i="10"/>
  <c r="F5" i="5"/>
  <c r="F13" i="5" s="1"/>
  <c r="F14" i="5" s="1"/>
  <c r="F117" i="5"/>
  <c r="F78" i="5"/>
  <c r="E5" i="5"/>
  <c r="B95" i="9"/>
  <c r="B95" i="11"/>
  <c r="B95" i="6"/>
  <c r="M71" i="1"/>
  <c r="M72" i="1"/>
  <c r="M74" i="1"/>
  <c r="M76" i="1"/>
  <c r="M78" i="1"/>
  <c r="M79" i="1"/>
  <c r="G75" i="1"/>
  <c r="G84" i="1"/>
  <c r="G85" i="1"/>
  <c r="C6" i="11"/>
  <c r="D6" i="11" s="1"/>
  <c r="C7" i="11"/>
  <c r="D7" i="11" s="1"/>
  <c r="C5" i="11"/>
  <c r="B38" i="11"/>
  <c r="D40" i="11"/>
  <c r="C40" i="11"/>
  <c r="C7" i="8"/>
  <c r="C6" i="8"/>
  <c r="E5" i="8"/>
  <c r="C5" i="8"/>
  <c r="C7" i="5"/>
  <c r="E7" i="5" s="1"/>
  <c r="C6" i="5"/>
  <c r="E6" i="5" s="1"/>
  <c r="D117" i="11"/>
  <c r="C117" i="11"/>
  <c r="B107" i="11"/>
  <c r="B106" i="11"/>
  <c r="B104" i="11"/>
  <c r="B103" i="11"/>
  <c r="B101" i="11"/>
  <c r="B100" i="11"/>
  <c r="B98" i="11"/>
  <c r="B97" i="11"/>
  <c r="D78" i="11"/>
  <c r="B78" i="11"/>
  <c r="B74" i="11"/>
  <c r="B79" i="11" s="1"/>
  <c r="C72" i="11"/>
  <c r="C78" i="11" s="1"/>
  <c r="B67" i="11"/>
  <c r="B66" i="11"/>
  <c r="B64" i="11"/>
  <c r="B59" i="11"/>
  <c r="B57" i="11"/>
  <c r="B54" i="11"/>
  <c r="B40" i="11"/>
  <c r="B36" i="11"/>
  <c r="B24" i="11"/>
  <c r="B23" i="11"/>
  <c r="D8" i="11"/>
  <c r="C8" i="11"/>
  <c r="C13" i="11"/>
  <c r="B153" i="10"/>
  <c r="B151" i="10"/>
  <c r="B148" i="10"/>
  <c r="B149" i="10" s="1"/>
  <c r="B143" i="10"/>
  <c r="B141" i="10"/>
  <c r="B139" i="10"/>
  <c r="B134" i="10"/>
  <c r="B129" i="10"/>
  <c r="B124" i="10"/>
  <c r="B119" i="10"/>
  <c r="E105" i="10"/>
  <c r="D105" i="10"/>
  <c r="C105" i="10"/>
  <c r="B98" i="10"/>
  <c r="B97" i="10"/>
  <c r="E117" i="5"/>
  <c r="D117" i="5"/>
  <c r="C117" i="5"/>
  <c r="B107" i="5"/>
  <c r="B106" i="5"/>
  <c r="B104" i="5"/>
  <c r="B103" i="5"/>
  <c r="B101" i="5"/>
  <c r="B100" i="5"/>
  <c r="B98" i="5"/>
  <c r="B97" i="5"/>
  <c r="B96" i="5"/>
  <c r="B95" i="5"/>
  <c r="E78" i="5"/>
  <c r="D78" i="5"/>
  <c r="B78" i="5"/>
  <c r="B74" i="5"/>
  <c r="B79" i="5" s="1"/>
  <c r="C72" i="5"/>
  <c r="C78" i="5" s="1"/>
  <c r="B67" i="5"/>
  <c r="B66" i="5"/>
  <c r="B64" i="5"/>
  <c r="B59" i="5"/>
  <c r="B57" i="5"/>
  <c r="B54" i="5"/>
  <c r="B42" i="5"/>
  <c r="B40" i="5"/>
  <c r="B36" i="5"/>
  <c r="B24" i="5"/>
  <c r="B23" i="5"/>
  <c r="E13" i="5"/>
  <c r="C5" i="5"/>
  <c r="C13" i="5" s="1"/>
  <c r="K69" i="1"/>
  <c r="E69" i="1"/>
  <c r="G33" i="3"/>
  <c r="G29" i="3"/>
  <c r="D78" i="6"/>
  <c r="B78" i="6"/>
  <c r="B74" i="6"/>
  <c r="B79" i="6" s="1"/>
  <c r="C72" i="6"/>
  <c r="C78" i="6" s="1"/>
  <c r="B67" i="6"/>
  <c r="B66" i="6"/>
  <c r="B64" i="6"/>
  <c r="B59" i="6"/>
  <c r="B57" i="6"/>
  <c r="B54" i="6"/>
  <c r="B42" i="6"/>
  <c r="B40" i="6"/>
  <c r="B36" i="6"/>
  <c r="B24" i="6"/>
  <c r="B23" i="6"/>
  <c r="B67" i="9"/>
  <c r="B66" i="9"/>
  <c r="B64" i="9"/>
  <c r="F105" i="2"/>
  <c r="F106" i="2"/>
  <c r="F107" i="2"/>
  <c r="F108" i="2"/>
  <c r="F109" i="2"/>
  <c r="F104" i="2"/>
  <c r="F110" i="2" s="1"/>
  <c r="G88" i="2"/>
  <c r="G89" i="2"/>
  <c r="G90" i="2"/>
  <c r="G91" i="2"/>
  <c r="G92" i="2"/>
  <c r="G93" i="2"/>
  <c r="G94" i="2"/>
  <c r="G96" i="2"/>
  <c r="G97" i="2"/>
  <c r="F88" i="2"/>
  <c r="F89" i="2"/>
  <c r="F90" i="2"/>
  <c r="F91" i="2"/>
  <c r="F92" i="2"/>
  <c r="F93" i="2"/>
  <c r="F94" i="2"/>
  <c r="F96" i="2"/>
  <c r="F97" i="2"/>
  <c r="C95" i="2"/>
  <c r="F95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" i="2"/>
  <c r="D13" i="7"/>
  <c r="D9" i="7"/>
  <c r="J82" i="1"/>
  <c r="E85" i="1"/>
  <c r="D71" i="1"/>
  <c r="H21" i="1"/>
  <c r="H20" i="1"/>
  <c r="C21" i="1"/>
  <c r="C20" i="1"/>
  <c r="E20" i="1" s="1"/>
  <c r="F39" i="5" s="1"/>
  <c r="J24" i="1"/>
  <c r="J21" i="1"/>
  <c r="J20" i="1"/>
  <c r="I12" i="1"/>
  <c r="D5" i="10" s="1"/>
  <c r="D13" i="10" s="1"/>
  <c r="H12" i="1"/>
  <c r="D117" i="9"/>
  <c r="C117" i="9"/>
  <c r="B107" i="9"/>
  <c r="B106" i="9" s="1"/>
  <c r="B104" i="9"/>
  <c r="B103" i="9" s="1"/>
  <c r="B101" i="9"/>
  <c r="B100" i="9" s="1"/>
  <c r="B98" i="9"/>
  <c r="B97" i="9" s="1"/>
  <c r="D78" i="9"/>
  <c r="B78" i="9"/>
  <c r="B74" i="9"/>
  <c r="B79" i="9" s="1"/>
  <c r="C72" i="9"/>
  <c r="C78" i="9" s="1"/>
  <c r="B59" i="9"/>
  <c r="B57" i="9"/>
  <c r="B54" i="9"/>
  <c r="B42" i="9"/>
  <c r="B40" i="9"/>
  <c r="B36" i="9"/>
  <c r="B24" i="9"/>
  <c r="B23" i="9"/>
  <c r="B25" i="9" s="1"/>
  <c r="B46" i="9" s="1"/>
  <c r="D8" i="9"/>
  <c r="C8" i="9"/>
  <c r="D7" i="9"/>
  <c r="C7" i="9"/>
  <c r="D6" i="9"/>
  <c r="C6" i="9"/>
  <c r="C5" i="9"/>
  <c r="C13" i="9" s="1"/>
  <c r="B172" i="8"/>
  <c r="B170" i="8"/>
  <c r="B169" i="8"/>
  <c r="B164" i="8"/>
  <c r="B162" i="8"/>
  <c r="B160" i="8"/>
  <c r="B155" i="8"/>
  <c r="B150" i="8"/>
  <c r="B145" i="8"/>
  <c r="B140" i="8"/>
  <c r="E117" i="8"/>
  <c r="D117" i="8"/>
  <c r="C117" i="8"/>
  <c r="B107" i="8"/>
  <c r="B106" i="8" s="1"/>
  <c r="B104" i="8"/>
  <c r="B103" i="8" s="1"/>
  <c r="B101" i="8"/>
  <c r="B100" i="8" s="1"/>
  <c r="B98" i="8"/>
  <c r="B97" i="8" s="1"/>
  <c r="B96" i="8"/>
  <c r="B95" i="8"/>
  <c r="E78" i="8"/>
  <c r="D78" i="8"/>
  <c r="B78" i="8"/>
  <c r="B74" i="8"/>
  <c r="B79" i="8" s="1"/>
  <c r="C72" i="8"/>
  <c r="C78" i="8" s="1"/>
  <c r="B67" i="8"/>
  <c r="B66" i="8"/>
  <c r="B64" i="8"/>
  <c r="B59" i="8"/>
  <c r="B57" i="8"/>
  <c r="B54" i="8"/>
  <c r="B55" i="8" s="1"/>
  <c r="B42" i="8"/>
  <c r="E40" i="8"/>
  <c r="B40" i="8"/>
  <c r="B36" i="8"/>
  <c r="B24" i="8"/>
  <c r="B23" i="8"/>
  <c r="C13" i="8"/>
  <c r="C14" i="8" s="1"/>
  <c r="J27" i="7"/>
  <c r="L27" i="7" s="1"/>
  <c r="L20" i="7"/>
  <c r="I20" i="7"/>
  <c r="H20" i="7"/>
  <c r="G20" i="7"/>
  <c r="F20" i="7"/>
  <c r="E20" i="7"/>
  <c r="D20" i="7"/>
  <c r="C20" i="7"/>
  <c r="T17" i="7"/>
  <c r="S17" i="7"/>
  <c r="R17" i="7"/>
  <c r="Q17" i="7"/>
  <c r="P17" i="7"/>
  <c r="Q18" i="7" s="1"/>
  <c r="O17" i="7"/>
  <c r="N17" i="7"/>
  <c r="L17" i="7"/>
  <c r="L19" i="7" s="1"/>
  <c r="K17" i="7"/>
  <c r="K19" i="7" s="1"/>
  <c r="J17" i="7"/>
  <c r="I17" i="7"/>
  <c r="I19" i="7" s="1"/>
  <c r="H17" i="7"/>
  <c r="G17" i="7"/>
  <c r="F17" i="7"/>
  <c r="F19" i="7" s="1"/>
  <c r="E17" i="7"/>
  <c r="E19" i="7" s="1"/>
  <c r="D17" i="7"/>
  <c r="D19" i="7" s="1"/>
  <c r="C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D117" i="6"/>
  <c r="C117" i="6"/>
  <c r="B107" i="6"/>
  <c r="B106" i="6" s="1"/>
  <c r="B104" i="6"/>
  <c r="B103" i="6"/>
  <c r="B101" i="6"/>
  <c r="B100" i="6" s="1"/>
  <c r="B98" i="6"/>
  <c r="B97" i="6" s="1"/>
  <c r="D8" i="6"/>
  <c r="C8" i="6"/>
  <c r="D7" i="6"/>
  <c r="C7" i="6"/>
  <c r="D6" i="6"/>
  <c r="C6" i="6"/>
  <c r="C13" i="6"/>
  <c r="B174" i="5"/>
  <c r="B172" i="5"/>
  <c r="B169" i="5"/>
  <c r="B170" i="5" s="1"/>
  <c r="B164" i="5"/>
  <c r="B162" i="5"/>
  <c r="B160" i="5"/>
  <c r="B155" i="5"/>
  <c r="B150" i="5"/>
  <c r="B145" i="5"/>
  <c r="B140" i="5"/>
  <c r="J31" i="4"/>
  <c r="L31" i="4" s="1"/>
  <c r="I24" i="4"/>
  <c r="H24" i="4"/>
  <c r="G24" i="4"/>
  <c r="F24" i="4"/>
  <c r="E24" i="4"/>
  <c r="D24" i="4"/>
  <c r="C24" i="4"/>
  <c r="T21" i="4"/>
  <c r="S21" i="4"/>
  <c r="R21" i="4"/>
  <c r="Q21" i="4"/>
  <c r="P21" i="4"/>
  <c r="Q22" i="4" s="1"/>
  <c r="O21" i="4"/>
  <c r="N21" i="4"/>
  <c r="L21" i="4"/>
  <c r="L23" i="4" s="1"/>
  <c r="K21" i="4"/>
  <c r="K23" i="4" s="1"/>
  <c r="J21" i="4"/>
  <c r="J33" i="4" s="1"/>
  <c r="I21" i="4"/>
  <c r="I23" i="4" s="1"/>
  <c r="H21" i="4"/>
  <c r="G21" i="4"/>
  <c r="G23" i="4" s="1"/>
  <c r="F21" i="4"/>
  <c r="F23" i="4" s="1"/>
  <c r="E21" i="4"/>
  <c r="E23" i="4" s="1"/>
  <c r="D21" i="4"/>
  <c r="C21" i="4"/>
  <c r="C23" i="4" s="1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W37" i="3"/>
  <c r="U37" i="3"/>
  <c r="S37" i="3"/>
  <c r="Q37" i="3"/>
  <c r="O37" i="3"/>
  <c r="M37" i="3"/>
  <c r="K37" i="3"/>
  <c r="I37" i="3"/>
  <c r="G37" i="3"/>
  <c r="E37" i="3"/>
  <c r="D36" i="3"/>
  <c r="B16" i="7" s="1"/>
  <c r="D35" i="3"/>
  <c r="B15" i="7" s="1"/>
  <c r="D34" i="3"/>
  <c r="B14" i="7" s="1"/>
  <c r="D33" i="3"/>
  <c r="B13" i="7" s="1"/>
  <c r="D32" i="3"/>
  <c r="B12" i="7" s="1"/>
  <c r="D31" i="3"/>
  <c r="B11" i="7" s="1"/>
  <c r="D30" i="3"/>
  <c r="B10" i="7" s="1"/>
  <c r="D29" i="3"/>
  <c r="B9" i="7" s="1"/>
  <c r="D28" i="3"/>
  <c r="B8" i="7" s="1"/>
  <c r="D27" i="3"/>
  <c r="B7" i="7" s="1"/>
  <c r="D26" i="3"/>
  <c r="B6" i="7" s="1"/>
  <c r="D25" i="3"/>
  <c r="B5" i="7" s="1"/>
  <c r="AC24" i="3"/>
  <c r="AC37" i="3" s="1"/>
  <c r="D24" i="3"/>
  <c r="B4" i="7" s="1"/>
  <c r="W23" i="3"/>
  <c r="U23" i="3"/>
  <c r="S23" i="3"/>
  <c r="Q23" i="3"/>
  <c r="O23" i="3"/>
  <c r="M23" i="3"/>
  <c r="K23" i="3"/>
  <c r="I23" i="3"/>
  <c r="G23" i="3"/>
  <c r="E23" i="3"/>
  <c r="D22" i="3"/>
  <c r="B20" i="4" s="1"/>
  <c r="D21" i="3"/>
  <c r="B19" i="4" s="1"/>
  <c r="D20" i="3"/>
  <c r="B18" i="4" s="1"/>
  <c r="D19" i="3"/>
  <c r="B17" i="4" s="1"/>
  <c r="D18" i="3"/>
  <c r="B16" i="4" s="1"/>
  <c r="D17" i="3"/>
  <c r="B15" i="4" s="1"/>
  <c r="D16" i="3"/>
  <c r="B14" i="4" s="1"/>
  <c r="D15" i="3"/>
  <c r="B13" i="4" s="1"/>
  <c r="D14" i="3"/>
  <c r="B12" i="4" s="1"/>
  <c r="D13" i="3"/>
  <c r="B11" i="4" s="1"/>
  <c r="D12" i="3"/>
  <c r="B10" i="4" s="1"/>
  <c r="D11" i="3"/>
  <c r="B9" i="4" s="1"/>
  <c r="D10" i="3"/>
  <c r="B8" i="4" s="1"/>
  <c r="D9" i="3"/>
  <c r="B7" i="4" s="1"/>
  <c r="D8" i="3"/>
  <c r="B6" i="4" s="1"/>
  <c r="D7" i="3"/>
  <c r="B5" i="4" s="1"/>
  <c r="AC6" i="3"/>
  <c r="AC23" i="3" s="1"/>
  <c r="AC39" i="3" s="1"/>
  <c r="G125" i="2"/>
  <c r="G124" i="2"/>
  <c r="F124" i="2"/>
  <c r="G123" i="2"/>
  <c r="F122" i="2"/>
  <c r="D119" i="2"/>
  <c r="C119" i="2"/>
  <c r="D118" i="2"/>
  <c r="G118" i="2" s="1"/>
  <c r="C118" i="2"/>
  <c r="F118" i="2" s="1"/>
  <c r="D117" i="2"/>
  <c r="G117" i="2" s="1"/>
  <c r="C117" i="2"/>
  <c r="F117" i="2" s="1"/>
  <c r="D116" i="2"/>
  <c r="G116" i="2" s="1"/>
  <c r="C116" i="2"/>
  <c r="F116" i="2" s="1"/>
  <c r="D115" i="2"/>
  <c r="G115" i="2" s="1"/>
  <c r="C115" i="2"/>
  <c r="D95" i="2"/>
  <c r="G95" i="2" s="1"/>
  <c r="F87" i="2"/>
  <c r="F98" i="2" s="1"/>
  <c r="C68" i="2"/>
  <c r="E68" i="2" s="1"/>
  <c r="C66" i="2"/>
  <c r="E65" i="2"/>
  <c r="C64" i="2"/>
  <c r="E64" i="2" s="1"/>
  <c r="C63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58" i="2" s="1"/>
  <c r="D86" i="1"/>
  <c r="E84" i="1"/>
  <c r="E83" i="1"/>
  <c r="F83" i="1" s="1"/>
  <c r="G83" i="1" s="1"/>
  <c r="K81" i="1"/>
  <c r="L81" i="1" s="1"/>
  <c r="M81" i="1" s="1"/>
  <c r="E82" i="1"/>
  <c r="F82" i="1" s="1"/>
  <c r="G82" i="1" s="1"/>
  <c r="K80" i="1"/>
  <c r="L80" i="1" s="1"/>
  <c r="M80" i="1" s="1"/>
  <c r="E81" i="1"/>
  <c r="F81" i="1" s="1"/>
  <c r="G81" i="1" s="1"/>
  <c r="K79" i="1"/>
  <c r="E80" i="1"/>
  <c r="F80" i="1" s="1"/>
  <c r="G80" i="1" s="1"/>
  <c r="K78" i="1"/>
  <c r="E79" i="1"/>
  <c r="F79" i="1" s="1"/>
  <c r="G79" i="1" s="1"/>
  <c r="K77" i="1"/>
  <c r="L77" i="1" s="1"/>
  <c r="M77" i="1" s="1"/>
  <c r="E78" i="1"/>
  <c r="F78" i="1" s="1"/>
  <c r="G78" i="1" s="1"/>
  <c r="K76" i="1"/>
  <c r="E77" i="1"/>
  <c r="F77" i="1" s="1"/>
  <c r="G77" i="1" s="1"/>
  <c r="K75" i="1"/>
  <c r="L75" i="1" s="1"/>
  <c r="M75" i="1" s="1"/>
  <c r="E76" i="1"/>
  <c r="F76" i="1" s="1"/>
  <c r="G76" i="1" s="1"/>
  <c r="K74" i="1"/>
  <c r="E75" i="1"/>
  <c r="K73" i="1"/>
  <c r="L73" i="1" s="1"/>
  <c r="M73" i="1" s="1"/>
  <c r="E74" i="1"/>
  <c r="F74" i="1" s="1"/>
  <c r="G74" i="1" s="1"/>
  <c r="K72" i="1"/>
  <c r="E73" i="1"/>
  <c r="F73" i="1" s="1"/>
  <c r="G73" i="1" s="1"/>
  <c r="K71" i="1"/>
  <c r="E72" i="1"/>
  <c r="F72" i="1" s="1"/>
  <c r="G72" i="1" s="1"/>
  <c r="K70" i="1"/>
  <c r="L70" i="1" s="1"/>
  <c r="M70" i="1" s="1"/>
  <c r="E71" i="1"/>
  <c r="F71" i="1" s="1"/>
  <c r="G71" i="1" s="1"/>
  <c r="E70" i="1"/>
  <c r="F70" i="1" s="1"/>
  <c r="G70" i="1" s="1"/>
  <c r="E52" i="1"/>
  <c r="B65" i="10" s="1"/>
  <c r="E24" i="1"/>
  <c r="D21" i="1"/>
  <c r="E12" i="1"/>
  <c r="D5" i="6" s="1"/>
  <c r="D13" i="6" s="1"/>
  <c r="D12" i="1"/>
  <c r="C39" i="6" l="1"/>
  <c r="E39" i="10"/>
  <c r="C39" i="10"/>
  <c r="F39" i="10"/>
  <c r="D39" i="6"/>
  <c r="D39" i="10"/>
  <c r="B41" i="11"/>
  <c r="B41" i="10"/>
  <c r="B84" i="10"/>
  <c r="F84" i="10" s="1"/>
  <c r="F91" i="10" s="1"/>
  <c r="F111" i="10" s="1"/>
  <c r="F84" i="5"/>
  <c r="D84" i="11"/>
  <c r="C84" i="11"/>
  <c r="B84" i="11"/>
  <c r="B84" i="5"/>
  <c r="C14" i="10"/>
  <c r="C19" i="10" s="1"/>
  <c r="D14" i="10"/>
  <c r="D19" i="10" s="1"/>
  <c r="E18" i="10"/>
  <c r="E19" i="10" s="1"/>
  <c r="E107" i="10" s="1"/>
  <c r="F14" i="10"/>
  <c r="F19" i="10" s="1"/>
  <c r="F107" i="10" s="1"/>
  <c r="E6" i="10"/>
  <c r="D6" i="10"/>
  <c r="F6" i="10" s="1"/>
  <c r="E7" i="10"/>
  <c r="D7" i="10"/>
  <c r="F7" i="10" s="1"/>
  <c r="B25" i="10"/>
  <c r="B46" i="10" s="1"/>
  <c r="F23" i="10"/>
  <c r="E23" i="10"/>
  <c r="D23" i="10"/>
  <c r="C23" i="10"/>
  <c r="B58" i="10"/>
  <c r="B47" i="10"/>
  <c r="F38" i="10"/>
  <c r="E38" i="10"/>
  <c r="D38" i="10"/>
  <c r="C38" i="10"/>
  <c r="F41" i="10"/>
  <c r="E41" i="10"/>
  <c r="D41" i="10"/>
  <c r="C41" i="10"/>
  <c r="F42" i="10"/>
  <c r="E42" i="10"/>
  <c r="D42" i="10"/>
  <c r="C42" i="10"/>
  <c r="B55" i="10"/>
  <c r="B69" i="10"/>
  <c r="B77" i="10" s="1"/>
  <c r="E84" i="10"/>
  <c r="D84" i="10"/>
  <c r="C84" i="10"/>
  <c r="L69" i="1"/>
  <c r="M69" i="1" s="1"/>
  <c r="M82" i="1" s="1"/>
  <c r="K82" i="1"/>
  <c r="F19" i="5"/>
  <c r="O22" i="4"/>
  <c r="E86" i="1"/>
  <c r="F69" i="1"/>
  <c r="F86" i="1" s="1"/>
  <c r="G69" i="1"/>
  <c r="D5" i="8"/>
  <c r="D5" i="5"/>
  <c r="D13" i="5" s="1"/>
  <c r="B41" i="5"/>
  <c r="F41" i="5" s="1"/>
  <c r="B65" i="11"/>
  <c r="B65" i="5"/>
  <c r="D5" i="11"/>
  <c r="D13" i="11" s="1"/>
  <c r="D41" i="11"/>
  <c r="C41" i="11"/>
  <c r="C39" i="11"/>
  <c r="E39" i="5"/>
  <c r="C39" i="5"/>
  <c r="D6" i="5"/>
  <c r="F6" i="5" s="1"/>
  <c r="D7" i="5"/>
  <c r="F7" i="5" s="1"/>
  <c r="E6" i="8"/>
  <c r="D6" i="8"/>
  <c r="E7" i="8"/>
  <c r="D7" i="8"/>
  <c r="C14" i="11"/>
  <c r="C19" i="11" s="1"/>
  <c r="D14" i="11"/>
  <c r="D19" i="11" s="1"/>
  <c r="B25" i="11"/>
  <c r="B46" i="11" s="1"/>
  <c r="D23" i="11"/>
  <c r="C23" i="11"/>
  <c r="B58" i="11"/>
  <c r="B47" i="11"/>
  <c r="D38" i="11"/>
  <c r="C38" i="11"/>
  <c r="D42" i="11"/>
  <c r="C42" i="11"/>
  <c r="B55" i="11"/>
  <c r="B69" i="11"/>
  <c r="B77" i="11" s="1"/>
  <c r="C14" i="5"/>
  <c r="C19" i="5" s="1"/>
  <c r="D14" i="5"/>
  <c r="D19" i="5" s="1"/>
  <c r="E18" i="5"/>
  <c r="E19" i="5" s="1"/>
  <c r="B25" i="5"/>
  <c r="B46" i="5" s="1"/>
  <c r="E23" i="5"/>
  <c r="D23" i="5"/>
  <c r="C23" i="5"/>
  <c r="B58" i="5"/>
  <c r="B47" i="5"/>
  <c r="E41" i="5"/>
  <c r="D41" i="5"/>
  <c r="C41" i="5"/>
  <c r="E42" i="5"/>
  <c r="D42" i="5"/>
  <c r="C42" i="5"/>
  <c r="B55" i="5"/>
  <c r="B69" i="5"/>
  <c r="B77" i="5" s="1"/>
  <c r="E84" i="5"/>
  <c r="D84" i="5"/>
  <c r="C84" i="5"/>
  <c r="B41" i="6"/>
  <c r="B65" i="6"/>
  <c r="B65" i="9"/>
  <c r="C39" i="9"/>
  <c r="B84" i="8"/>
  <c r="D84" i="6"/>
  <c r="C84" i="6"/>
  <c r="B84" i="6"/>
  <c r="B84" i="9"/>
  <c r="C14" i="6"/>
  <c r="C19" i="6" s="1"/>
  <c r="D14" i="6"/>
  <c r="D19" i="6" s="1"/>
  <c r="B25" i="6"/>
  <c r="B46" i="6" s="1"/>
  <c r="D23" i="6"/>
  <c r="C23" i="6"/>
  <c r="B58" i="6"/>
  <c r="B47" i="6"/>
  <c r="D41" i="6"/>
  <c r="C41" i="6"/>
  <c r="D42" i="6"/>
  <c r="C42" i="6"/>
  <c r="B55" i="6"/>
  <c r="B69" i="6"/>
  <c r="B77" i="6" s="1"/>
  <c r="E21" i="1"/>
  <c r="E63" i="2"/>
  <c r="E66" i="2"/>
  <c r="F115" i="2"/>
  <c r="F119" i="2"/>
  <c r="M21" i="4"/>
  <c r="J23" i="4"/>
  <c r="O23" i="4"/>
  <c r="D25" i="4"/>
  <c r="E25" i="4"/>
  <c r="F25" i="4"/>
  <c r="H25" i="4"/>
  <c r="I25" i="4"/>
  <c r="J19" i="7"/>
  <c r="C21" i="7"/>
  <c r="D21" i="7"/>
  <c r="F21" i="7"/>
  <c r="G21" i="7"/>
  <c r="H21" i="7"/>
  <c r="L21" i="7"/>
  <c r="K20" i="7"/>
  <c r="K21" i="7" s="1"/>
  <c r="L28" i="7"/>
  <c r="J20" i="7" s="1"/>
  <c r="J21" i="7" s="1"/>
  <c r="C19" i="8"/>
  <c r="B47" i="9"/>
  <c r="B58" i="9"/>
  <c r="B55" i="9"/>
  <c r="B60" i="9" s="1"/>
  <c r="E37" i="2"/>
  <c r="E59" i="2" s="1"/>
  <c r="D39" i="9"/>
  <c r="D39" i="8"/>
  <c r="E39" i="8"/>
  <c r="C39" i="8"/>
  <c r="B41" i="8"/>
  <c r="G87" i="2"/>
  <c r="G98" i="2" s="1"/>
  <c r="G99" i="2" s="1"/>
  <c r="G122" i="2"/>
  <c r="G121" i="2" s="1"/>
  <c r="F125" i="2"/>
  <c r="C55" i="8"/>
  <c r="E13" i="8"/>
  <c r="E18" i="8" s="1"/>
  <c r="D23" i="4"/>
  <c r="H23" i="4"/>
  <c r="L32" i="4"/>
  <c r="J24" i="4" s="1"/>
  <c r="J25" i="4" s="1"/>
  <c r="L24" i="4"/>
  <c r="L25" i="4" s="1"/>
  <c r="K24" i="4"/>
  <c r="K25" i="4" s="1"/>
  <c r="C19" i="7"/>
  <c r="G19" i="7"/>
  <c r="O18" i="7"/>
  <c r="B58" i="8"/>
  <c r="B47" i="8"/>
  <c r="C14" i="9"/>
  <c r="C19" i="9"/>
  <c r="B41" i="9"/>
  <c r="G119" i="2"/>
  <c r="G114" i="2" s="1"/>
  <c r="B87" i="11" s="1"/>
  <c r="C87" i="11" s="1"/>
  <c r="F123" i="2"/>
  <c r="F121" i="2" s="1"/>
  <c r="M17" i="7"/>
  <c r="H19" i="7"/>
  <c r="C119" i="8"/>
  <c r="C57" i="8"/>
  <c r="C24" i="8"/>
  <c r="C54" i="8"/>
  <c r="C59" i="8"/>
  <c r="C25" i="4"/>
  <c r="G25" i="4"/>
  <c r="B25" i="8"/>
  <c r="B46" i="8" s="1"/>
  <c r="D13" i="9"/>
  <c r="D5" i="9"/>
  <c r="D13" i="8"/>
  <c r="D14" i="8" s="1"/>
  <c r="B65" i="8"/>
  <c r="C23" i="8"/>
  <c r="C25" i="8" s="1"/>
  <c r="C42" i="8"/>
  <c r="E21" i="7"/>
  <c r="I21" i="7"/>
  <c r="B69" i="8"/>
  <c r="B77" i="8" s="1"/>
  <c r="B69" i="9"/>
  <c r="B77" i="9" s="1"/>
  <c r="D87" i="10" l="1"/>
  <c r="D87" i="5"/>
  <c r="C87" i="10"/>
  <c r="B87" i="10"/>
  <c r="C87" i="5"/>
  <c r="B87" i="5"/>
  <c r="B87" i="8"/>
  <c r="B85" i="10"/>
  <c r="B85" i="5"/>
  <c r="B85" i="8"/>
  <c r="F55" i="10"/>
  <c r="E55" i="10"/>
  <c r="D55" i="10"/>
  <c r="C55" i="10"/>
  <c r="B60" i="10"/>
  <c r="C44" i="10"/>
  <c r="C48" i="10" s="1"/>
  <c r="D44" i="10"/>
  <c r="D48" i="10" s="1"/>
  <c r="E44" i="10"/>
  <c r="E48" i="10" s="1"/>
  <c r="F44" i="10"/>
  <c r="F48" i="10" s="1"/>
  <c r="F58" i="10"/>
  <c r="E58" i="10"/>
  <c r="D58" i="10"/>
  <c r="C58" i="10"/>
  <c r="F59" i="10"/>
  <c r="F57" i="10"/>
  <c r="F54" i="10"/>
  <c r="F24" i="10"/>
  <c r="F25" i="10" s="1"/>
  <c r="E59" i="10"/>
  <c r="E57" i="10"/>
  <c r="E54" i="10"/>
  <c r="E24" i="10"/>
  <c r="E25" i="10" s="1"/>
  <c r="D59" i="10"/>
  <c r="D57" i="10"/>
  <c r="D54" i="10"/>
  <c r="D24" i="10"/>
  <c r="D25" i="10" s="1"/>
  <c r="C59" i="10"/>
  <c r="C57" i="10"/>
  <c r="C54" i="10"/>
  <c r="C24" i="10"/>
  <c r="C25" i="10" s="1"/>
  <c r="F59" i="5"/>
  <c r="F58" i="5"/>
  <c r="F57" i="5"/>
  <c r="F55" i="5"/>
  <c r="F54" i="5"/>
  <c r="F24" i="5"/>
  <c r="F23" i="5"/>
  <c r="F119" i="5"/>
  <c r="F25" i="5"/>
  <c r="F42" i="5"/>
  <c r="J83" i="1"/>
  <c r="D39" i="11"/>
  <c r="D39" i="5"/>
  <c r="G86" i="1"/>
  <c r="D55" i="11"/>
  <c r="C55" i="11"/>
  <c r="B60" i="11"/>
  <c r="C44" i="11"/>
  <c r="C48" i="11" s="1"/>
  <c r="D44" i="11"/>
  <c r="D48" i="11" s="1"/>
  <c r="D58" i="11"/>
  <c r="C58" i="11"/>
  <c r="D119" i="11"/>
  <c r="D59" i="11"/>
  <c r="D57" i="11"/>
  <c r="D54" i="11"/>
  <c r="D24" i="11"/>
  <c r="D25" i="11" s="1"/>
  <c r="C119" i="11"/>
  <c r="C59" i="11"/>
  <c r="C57" i="11"/>
  <c r="C54" i="11"/>
  <c r="C24" i="11"/>
  <c r="C25" i="11" s="1"/>
  <c r="D107" i="10"/>
  <c r="C107" i="10"/>
  <c r="E55" i="5"/>
  <c r="D55" i="5"/>
  <c r="C55" i="5"/>
  <c r="B60" i="5"/>
  <c r="E58" i="5"/>
  <c r="D58" i="5"/>
  <c r="C58" i="5"/>
  <c r="E119" i="5"/>
  <c r="E59" i="5"/>
  <c r="E57" i="5"/>
  <c r="E54" i="5"/>
  <c r="E24" i="5"/>
  <c r="E25" i="5" s="1"/>
  <c r="D119" i="5"/>
  <c r="D59" i="5"/>
  <c r="D57" i="5"/>
  <c r="D54" i="5"/>
  <c r="D24" i="5"/>
  <c r="D25" i="5" s="1"/>
  <c r="C119" i="5"/>
  <c r="C59" i="5"/>
  <c r="C57" i="5"/>
  <c r="C54" i="5"/>
  <c r="C24" i="5"/>
  <c r="C25" i="5" s="1"/>
  <c r="D87" i="8"/>
  <c r="B87" i="6"/>
  <c r="C87" i="6" s="1"/>
  <c r="B87" i="9"/>
  <c r="C87" i="8"/>
  <c r="G100" i="2"/>
  <c r="B86" i="8" s="1"/>
  <c r="F114" i="2"/>
  <c r="D87" i="11" s="1"/>
  <c r="D55" i="6"/>
  <c r="C55" i="6"/>
  <c r="B60" i="6"/>
  <c r="D58" i="6"/>
  <c r="C58" i="6"/>
  <c r="D59" i="6"/>
  <c r="D57" i="6"/>
  <c r="D54" i="6"/>
  <c r="D24" i="6"/>
  <c r="D25" i="6" s="1"/>
  <c r="C59" i="6"/>
  <c r="C57" i="6"/>
  <c r="C54" i="6"/>
  <c r="C24" i="6"/>
  <c r="C25" i="6" s="1"/>
  <c r="F99" i="2"/>
  <c r="F100" i="2" s="1"/>
  <c r="B86" i="10" s="1"/>
  <c r="E69" i="2"/>
  <c r="B85" i="11" s="1"/>
  <c r="L82" i="1"/>
  <c r="D87" i="1"/>
  <c r="C33" i="8"/>
  <c r="C29" i="8"/>
  <c r="C32" i="8"/>
  <c r="C30" i="8"/>
  <c r="C35" i="8"/>
  <c r="C56" i="8" s="1"/>
  <c r="M19" i="7"/>
  <c r="M23" i="4"/>
  <c r="C119" i="6"/>
  <c r="C87" i="9"/>
  <c r="D19" i="8"/>
  <c r="C119" i="9"/>
  <c r="C57" i="9"/>
  <c r="C54" i="9"/>
  <c r="C23" i="9"/>
  <c r="C24" i="9"/>
  <c r="C59" i="9"/>
  <c r="C42" i="9"/>
  <c r="D58" i="8"/>
  <c r="C58" i="8"/>
  <c r="D84" i="9"/>
  <c r="C84" i="9"/>
  <c r="E41" i="8"/>
  <c r="D41" i="8"/>
  <c r="C41" i="8"/>
  <c r="C55" i="9"/>
  <c r="C60" i="8"/>
  <c r="C121" i="8" s="1"/>
  <c r="C147" i="7"/>
  <c r="D14" i="9"/>
  <c r="D19" i="9" s="1"/>
  <c r="B60" i="8"/>
  <c r="C58" i="9"/>
  <c r="C46" i="8"/>
  <c r="C31" i="8"/>
  <c r="C34" i="8"/>
  <c r="C28" i="8"/>
  <c r="D41" i="9"/>
  <c r="C41" i="9"/>
  <c r="E19" i="8"/>
  <c r="D85" i="11" l="1"/>
  <c r="D91" i="11" s="1"/>
  <c r="D123" i="11" s="1"/>
  <c r="C85" i="11"/>
  <c r="C91" i="11" s="1"/>
  <c r="C123" i="11" s="1"/>
  <c r="D86" i="10"/>
  <c r="C86" i="10"/>
  <c r="D85" i="8"/>
  <c r="C85" i="8"/>
  <c r="D85" i="5"/>
  <c r="C85" i="5"/>
  <c r="D85" i="10"/>
  <c r="D91" i="10" s="1"/>
  <c r="C85" i="10"/>
  <c r="C91" i="10" s="1"/>
  <c r="C46" i="10"/>
  <c r="C35" i="10"/>
  <c r="C56" i="10" s="1"/>
  <c r="C34" i="10"/>
  <c r="C33" i="10"/>
  <c r="C32" i="10"/>
  <c r="C31" i="10"/>
  <c r="C30" i="10"/>
  <c r="C29" i="10"/>
  <c r="C28" i="10"/>
  <c r="C36" i="10" s="1"/>
  <c r="C60" i="10"/>
  <c r="D46" i="10"/>
  <c r="D35" i="10"/>
  <c r="D56" i="10" s="1"/>
  <c r="D34" i="10"/>
  <c r="D33" i="10"/>
  <c r="D32" i="10"/>
  <c r="D31" i="10"/>
  <c r="D30" i="10"/>
  <c r="D29" i="10"/>
  <c r="D28" i="10"/>
  <c r="D36" i="10" s="1"/>
  <c r="D60" i="10"/>
  <c r="E46" i="10"/>
  <c r="E35" i="10"/>
  <c r="E56" i="10" s="1"/>
  <c r="E34" i="10"/>
  <c r="E33" i="10"/>
  <c r="E32" i="10"/>
  <c r="E31" i="10"/>
  <c r="E30" i="10"/>
  <c r="E29" i="10"/>
  <c r="E28" i="10"/>
  <c r="E36" i="10" s="1"/>
  <c r="E60" i="10"/>
  <c r="F46" i="10"/>
  <c r="F35" i="10"/>
  <c r="F56" i="10" s="1"/>
  <c r="F34" i="10"/>
  <c r="F33" i="10"/>
  <c r="F32" i="10"/>
  <c r="F31" i="10"/>
  <c r="F30" i="10"/>
  <c r="F29" i="10"/>
  <c r="F28" i="10"/>
  <c r="F36" i="10" s="1"/>
  <c r="F60" i="10"/>
  <c r="F109" i="10" s="1"/>
  <c r="F46" i="5"/>
  <c r="F29" i="5"/>
  <c r="F30" i="5"/>
  <c r="F31" i="5"/>
  <c r="F32" i="5"/>
  <c r="F33" i="5"/>
  <c r="F34" i="5"/>
  <c r="F35" i="5"/>
  <c r="F56" i="5" s="1"/>
  <c r="F28" i="5"/>
  <c r="B86" i="5"/>
  <c r="B38" i="5"/>
  <c r="B38" i="6"/>
  <c r="C46" i="11"/>
  <c r="C35" i="11"/>
  <c r="C56" i="11" s="1"/>
  <c r="C34" i="11"/>
  <c r="C33" i="11"/>
  <c r="C32" i="11"/>
  <c r="C31" i="11"/>
  <c r="C30" i="11"/>
  <c r="C29" i="11"/>
  <c r="C28" i="11"/>
  <c r="C36" i="11" s="1"/>
  <c r="C60" i="11"/>
  <c r="C121" i="11" s="1"/>
  <c r="D46" i="11"/>
  <c r="D35" i="11"/>
  <c r="D56" i="11" s="1"/>
  <c r="D34" i="11"/>
  <c r="D33" i="11"/>
  <c r="D32" i="11"/>
  <c r="D31" i="11"/>
  <c r="D30" i="11"/>
  <c r="D29" i="11"/>
  <c r="D28" i="11"/>
  <c r="D36" i="11" s="1"/>
  <c r="D60" i="11"/>
  <c r="D121" i="11" s="1"/>
  <c r="C109" i="10"/>
  <c r="D109" i="10"/>
  <c r="E109" i="10"/>
  <c r="E38" i="5"/>
  <c r="E44" i="5" s="1"/>
  <c r="E48" i="5" s="1"/>
  <c r="D38" i="5"/>
  <c r="D44" i="5" s="1"/>
  <c r="D48" i="5" s="1"/>
  <c r="C38" i="5"/>
  <c r="C44" i="5" s="1"/>
  <c r="C48" i="5" s="1"/>
  <c r="C46" i="5"/>
  <c r="C35" i="5"/>
  <c r="C34" i="5"/>
  <c r="C33" i="5"/>
  <c r="C32" i="5"/>
  <c r="C31" i="5"/>
  <c r="C30" i="5"/>
  <c r="C29" i="5"/>
  <c r="C28" i="5"/>
  <c r="D46" i="5"/>
  <c r="D35" i="5"/>
  <c r="D56" i="5" s="1"/>
  <c r="D34" i="5"/>
  <c r="D33" i="5"/>
  <c r="D32" i="5"/>
  <c r="D31" i="5"/>
  <c r="D30" i="5"/>
  <c r="D29" i="5"/>
  <c r="D28" i="5"/>
  <c r="D36" i="5" s="1"/>
  <c r="D60" i="5"/>
  <c r="D121" i="5" s="1"/>
  <c r="E46" i="5"/>
  <c r="E35" i="5"/>
  <c r="E56" i="5" s="1"/>
  <c r="E34" i="5"/>
  <c r="E33" i="5"/>
  <c r="E32" i="5"/>
  <c r="E31" i="5"/>
  <c r="E30" i="5"/>
  <c r="E29" i="5"/>
  <c r="E28" i="5"/>
  <c r="E36" i="5" s="1"/>
  <c r="E60" i="5"/>
  <c r="E121" i="5" s="1"/>
  <c r="B38" i="9"/>
  <c r="B38" i="8"/>
  <c r="B85" i="6"/>
  <c r="B85" i="9"/>
  <c r="D87" i="6"/>
  <c r="D87" i="9"/>
  <c r="C46" i="6"/>
  <c r="C35" i="6"/>
  <c r="C56" i="6" s="1"/>
  <c r="C34" i="6"/>
  <c r="C33" i="6"/>
  <c r="C32" i="6"/>
  <c r="C31" i="6"/>
  <c r="C30" i="6"/>
  <c r="C29" i="6"/>
  <c r="C28" i="6"/>
  <c r="C36" i="6" s="1"/>
  <c r="C60" i="6"/>
  <c r="D46" i="6"/>
  <c r="D35" i="6"/>
  <c r="D56" i="6" s="1"/>
  <c r="D34" i="6"/>
  <c r="D33" i="6"/>
  <c r="D32" i="6"/>
  <c r="D31" i="6"/>
  <c r="D30" i="6"/>
  <c r="D29" i="6"/>
  <c r="D28" i="6"/>
  <c r="D36" i="6" s="1"/>
  <c r="D60" i="6"/>
  <c r="C25" i="9"/>
  <c r="E59" i="8"/>
  <c r="E54" i="8"/>
  <c r="E24" i="8"/>
  <c r="E119" i="8"/>
  <c r="E57" i="8"/>
  <c r="E55" i="8"/>
  <c r="E42" i="8"/>
  <c r="E23" i="8"/>
  <c r="E25" i="8" s="1"/>
  <c r="D119" i="6"/>
  <c r="D24" i="9"/>
  <c r="D59" i="9"/>
  <c r="D23" i="9"/>
  <c r="D119" i="9"/>
  <c r="D57" i="9"/>
  <c r="D54" i="9"/>
  <c r="D42" i="9"/>
  <c r="D55" i="9"/>
  <c r="D58" i="9"/>
  <c r="E58" i="8"/>
  <c r="C36" i="8"/>
  <c r="D84" i="8"/>
  <c r="E84" i="8"/>
  <c r="C84" i="8"/>
  <c r="C85" i="9"/>
  <c r="D85" i="9"/>
  <c r="D91" i="9" s="1"/>
  <c r="D123" i="9" s="1"/>
  <c r="D86" i="8"/>
  <c r="C86" i="8"/>
  <c r="D54" i="8"/>
  <c r="D119" i="8"/>
  <c r="D57" i="8"/>
  <c r="D24" i="8"/>
  <c r="D59" i="8"/>
  <c r="D23" i="8"/>
  <c r="D25" i="8" s="1"/>
  <c r="D55" i="8"/>
  <c r="D42" i="8"/>
  <c r="C91" i="9"/>
  <c r="C123" i="9" s="1"/>
  <c r="C29" i="9"/>
  <c r="C32" i="9"/>
  <c r="D38" i="8"/>
  <c r="D44" i="8" s="1"/>
  <c r="D48" i="8" s="1"/>
  <c r="E38" i="8"/>
  <c r="E44" i="8" s="1"/>
  <c r="E48" i="8" s="1"/>
  <c r="C38" i="8"/>
  <c r="C44" i="8" s="1"/>
  <c r="C48" i="8" s="1"/>
  <c r="C121" i="6"/>
  <c r="C34" i="9"/>
  <c r="C38" i="9"/>
  <c r="C44" i="9" s="1"/>
  <c r="C48" i="9" s="1"/>
  <c r="D38" i="9"/>
  <c r="D44" i="9" s="1"/>
  <c r="D48" i="9" s="1"/>
  <c r="F47" i="10" l="1"/>
  <c r="F74" i="10"/>
  <c r="F79" i="10" s="1"/>
  <c r="F49" i="10"/>
  <c r="F108" i="10" s="1"/>
  <c r="E47" i="10"/>
  <c r="E74" i="10"/>
  <c r="E79" i="10" s="1"/>
  <c r="E49" i="10"/>
  <c r="D47" i="10"/>
  <c r="D74" i="10"/>
  <c r="D79" i="10" s="1"/>
  <c r="D49" i="10"/>
  <c r="C47" i="10"/>
  <c r="C74" i="10"/>
  <c r="C79" i="10" s="1"/>
  <c r="C49" i="10"/>
  <c r="F38" i="5"/>
  <c r="F44" i="5" s="1"/>
  <c r="F48" i="5" s="1"/>
  <c r="C36" i="5"/>
  <c r="C56" i="5"/>
  <c r="C60" i="5" s="1"/>
  <c r="C121" i="5" s="1"/>
  <c r="F60" i="5"/>
  <c r="F121" i="5" s="1"/>
  <c r="D86" i="5"/>
  <c r="D91" i="5" s="1"/>
  <c r="D123" i="5" s="1"/>
  <c r="C86" i="5"/>
  <c r="C91" i="5" s="1"/>
  <c r="C123" i="5" s="1"/>
  <c r="D111" i="10"/>
  <c r="C111" i="10"/>
  <c r="D47" i="11"/>
  <c r="D74" i="11"/>
  <c r="D79" i="11" s="1"/>
  <c r="D49" i="11"/>
  <c r="C47" i="11"/>
  <c r="C74" i="11"/>
  <c r="C79" i="11" s="1"/>
  <c r="C49" i="11"/>
  <c r="E47" i="5"/>
  <c r="E74" i="5"/>
  <c r="E79" i="5" s="1"/>
  <c r="E49" i="5"/>
  <c r="D47" i="5"/>
  <c r="D74" i="5"/>
  <c r="D79" i="5" s="1"/>
  <c r="D49" i="5"/>
  <c r="C47" i="5"/>
  <c r="C74" i="5"/>
  <c r="C79" i="5" s="1"/>
  <c r="C49" i="5"/>
  <c r="D85" i="6"/>
  <c r="D91" i="6" s="1"/>
  <c r="C85" i="6"/>
  <c r="C91" i="6" s="1"/>
  <c r="C123" i="6" s="1"/>
  <c r="D38" i="6"/>
  <c r="D44" i="6" s="1"/>
  <c r="D48" i="6" s="1"/>
  <c r="C38" i="6"/>
  <c r="C44" i="6" s="1"/>
  <c r="C48" i="6" s="1"/>
  <c r="D47" i="6"/>
  <c r="D74" i="6"/>
  <c r="D79" i="6" s="1"/>
  <c r="D49" i="6"/>
  <c r="C47" i="6"/>
  <c r="C74" i="6"/>
  <c r="C79" i="6" s="1"/>
  <c r="C49" i="6"/>
  <c r="D46" i="8"/>
  <c r="D35" i="8"/>
  <c r="D56" i="8" s="1"/>
  <c r="D28" i="8"/>
  <c r="D33" i="8"/>
  <c r="D31" i="8"/>
  <c r="D29" i="8"/>
  <c r="C91" i="8"/>
  <c r="C123" i="8" s="1"/>
  <c r="E46" i="8"/>
  <c r="E35" i="8"/>
  <c r="E56" i="8" s="1"/>
  <c r="E33" i="8"/>
  <c r="E34" i="8"/>
  <c r="C46" i="9"/>
  <c r="C30" i="9"/>
  <c r="C28" i="9"/>
  <c r="C35" i="9"/>
  <c r="C56" i="9" s="1"/>
  <c r="C60" i="9" s="1"/>
  <c r="C121" i="9" s="1"/>
  <c r="C33" i="9"/>
  <c r="C31" i="9"/>
  <c r="D60" i="8"/>
  <c r="D121" i="8" s="1"/>
  <c r="E60" i="8"/>
  <c r="E121" i="8" s="1"/>
  <c r="D32" i="8"/>
  <c r="D30" i="8"/>
  <c r="D91" i="8"/>
  <c r="D123" i="8" s="1"/>
  <c r="C47" i="8"/>
  <c r="C49" i="8" s="1"/>
  <c r="C74" i="8"/>
  <c r="C79" i="8" s="1"/>
  <c r="E30" i="8"/>
  <c r="E28" i="8"/>
  <c r="E32" i="8"/>
  <c r="D34" i="8"/>
  <c r="D123" i="6"/>
  <c r="D25" i="9"/>
  <c r="D121" i="6"/>
  <c r="E29" i="8"/>
  <c r="E31" i="8"/>
  <c r="C64" i="10" l="1"/>
  <c r="C65" i="10"/>
  <c r="C66" i="10"/>
  <c r="C67" i="10"/>
  <c r="D64" i="10"/>
  <c r="D65" i="10"/>
  <c r="D66" i="10"/>
  <c r="D67" i="10"/>
  <c r="E64" i="10"/>
  <c r="E65" i="10"/>
  <c r="E66" i="10"/>
  <c r="E67" i="10"/>
  <c r="F68" i="10"/>
  <c r="E68" i="10"/>
  <c r="F64" i="10"/>
  <c r="F65" i="10"/>
  <c r="F66" i="10"/>
  <c r="F67" i="10"/>
  <c r="F36" i="5"/>
  <c r="F68" i="5"/>
  <c r="C120" i="11"/>
  <c r="C64" i="11"/>
  <c r="C65" i="11"/>
  <c r="C66" i="11"/>
  <c r="C67" i="11"/>
  <c r="D120" i="11"/>
  <c r="D64" i="11"/>
  <c r="D65" i="11"/>
  <c r="D66" i="11"/>
  <c r="D67" i="11"/>
  <c r="C108" i="10"/>
  <c r="D108" i="10"/>
  <c r="E108" i="10"/>
  <c r="E88" i="10" s="1"/>
  <c r="E91" i="10" s="1"/>
  <c r="C120" i="5"/>
  <c r="C64" i="5"/>
  <c r="C65" i="5"/>
  <c r="C66" i="5"/>
  <c r="C67" i="5"/>
  <c r="D120" i="5"/>
  <c r="D64" i="5"/>
  <c r="D65" i="5"/>
  <c r="D66" i="5"/>
  <c r="D67" i="5"/>
  <c r="E120" i="5"/>
  <c r="E64" i="5"/>
  <c r="E65" i="5"/>
  <c r="E66" i="5"/>
  <c r="E67" i="5"/>
  <c r="E68" i="5"/>
  <c r="C65" i="8"/>
  <c r="C64" i="8"/>
  <c r="C66" i="8"/>
  <c r="C67" i="8"/>
  <c r="C64" i="6"/>
  <c r="C65" i="6"/>
  <c r="C66" i="6"/>
  <c r="C67" i="6"/>
  <c r="D64" i="6"/>
  <c r="D65" i="6"/>
  <c r="D66" i="6"/>
  <c r="D67" i="6"/>
  <c r="D36" i="8"/>
  <c r="C36" i="9"/>
  <c r="D47" i="8"/>
  <c r="D49" i="8" s="1"/>
  <c r="D74" i="8"/>
  <c r="D79" i="8" s="1"/>
  <c r="D46" i="9"/>
  <c r="D29" i="9"/>
  <c r="D30" i="9"/>
  <c r="D34" i="9"/>
  <c r="D35" i="9"/>
  <c r="D56" i="9" s="1"/>
  <c r="D60" i="9" s="1"/>
  <c r="D121" i="9" s="1"/>
  <c r="D33" i="9"/>
  <c r="D32" i="9"/>
  <c r="D31" i="9"/>
  <c r="D28" i="9"/>
  <c r="C120" i="8"/>
  <c r="E36" i="8"/>
  <c r="F69" i="10" l="1"/>
  <c r="F77" i="10" s="1"/>
  <c r="F80" i="10" s="1"/>
  <c r="F110" i="10" s="1"/>
  <c r="F112" i="10" s="1"/>
  <c r="E69" i="10"/>
  <c r="E77" i="10" s="1"/>
  <c r="E80" i="10" s="1"/>
  <c r="E95" i="10" s="1"/>
  <c r="E96" i="10" s="1"/>
  <c r="D69" i="10"/>
  <c r="D77" i="10" s="1"/>
  <c r="D80" i="10" s="1"/>
  <c r="D95" i="10" s="1"/>
  <c r="D96" i="10" s="1"/>
  <c r="C69" i="10"/>
  <c r="C77" i="10" s="1"/>
  <c r="C80" i="10" s="1"/>
  <c r="C95" i="10" s="1"/>
  <c r="C96" i="10" s="1"/>
  <c r="F47" i="5"/>
  <c r="F49" i="5" s="1"/>
  <c r="F74" i="5"/>
  <c r="F79" i="5" s="1"/>
  <c r="D69" i="11"/>
  <c r="D77" i="11" s="1"/>
  <c r="D80" i="11" s="1"/>
  <c r="C69" i="11"/>
  <c r="C77" i="11" s="1"/>
  <c r="C80" i="11" s="1"/>
  <c r="E111" i="10"/>
  <c r="E69" i="5"/>
  <c r="E77" i="5" s="1"/>
  <c r="E80" i="5" s="1"/>
  <c r="E88" i="5"/>
  <c r="E91" i="5" s="1"/>
  <c r="E123" i="5" s="1"/>
  <c r="D69" i="5"/>
  <c r="D77" i="5" s="1"/>
  <c r="D80" i="5" s="1"/>
  <c r="C69" i="5"/>
  <c r="C77" i="5" s="1"/>
  <c r="C80" i="5" s="1"/>
  <c r="D64" i="8"/>
  <c r="D66" i="8"/>
  <c r="D67" i="8"/>
  <c r="D65" i="8"/>
  <c r="D69" i="6"/>
  <c r="D77" i="6" s="1"/>
  <c r="D80" i="6" s="1"/>
  <c r="C69" i="6"/>
  <c r="C77" i="6" s="1"/>
  <c r="C80" i="6" s="1"/>
  <c r="C69" i="8"/>
  <c r="C77" i="8" s="1"/>
  <c r="C80" i="8" s="1"/>
  <c r="C122" i="8" s="1"/>
  <c r="C47" i="9"/>
  <c r="C49" i="9" s="1"/>
  <c r="C74" i="9"/>
  <c r="C79" i="9" s="1"/>
  <c r="C120" i="6"/>
  <c r="C124" i="8"/>
  <c r="C95" i="8"/>
  <c r="E47" i="8"/>
  <c r="E49" i="8" s="1"/>
  <c r="E74" i="8"/>
  <c r="E79" i="8" s="1"/>
  <c r="D36" i="9"/>
  <c r="D120" i="8"/>
  <c r="F95" i="10" l="1"/>
  <c r="F120" i="5"/>
  <c r="F67" i="5"/>
  <c r="F66" i="5"/>
  <c r="F65" i="5"/>
  <c r="F64" i="5"/>
  <c r="F69" i="5" s="1"/>
  <c r="F77" i="5" s="1"/>
  <c r="F80" i="5" s="1"/>
  <c r="C122" i="11"/>
  <c r="C124" i="11" s="1"/>
  <c r="C95" i="11"/>
  <c r="D122" i="11"/>
  <c r="D124" i="11" s="1"/>
  <c r="D95" i="11"/>
  <c r="C110" i="10"/>
  <c r="C112" i="10" s="1"/>
  <c r="D110" i="10"/>
  <c r="D112" i="10" s="1"/>
  <c r="E110" i="10"/>
  <c r="E112" i="10" s="1"/>
  <c r="C122" i="5"/>
  <c r="C124" i="5" s="1"/>
  <c r="C95" i="5"/>
  <c r="D122" i="5"/>
  <c r="D124" i="5" s="1"/>
  <c r="D95" i="5"/>
  <c r="E122" i="5"/>
  <c r="E124" i="5" s="1"/>
  <c r="E95" i="5"/>
  <c r="E64" i="8"/>
  <c r="E66" i="8"/>
  <c r="E67" i="8"/>
  <c r="E65" i="8"/>
  <c r="C64" i="9"/>
  <c r="C65" i="9"/>
  <c r="C66" i="9"/>
  <c r="C67" i="9"/>
  <c r="C120" i="9"/>
  <c r="D47" i="9"/>
  <c r="D49" i="9" s="1"/>
  <c r="D74" i="9"/>
  <c r="D79" i="9" s="1"/>
  <c r="E120" i="8"/>
  <c r="E68" i="8"/>
  <c r="C96" i="8"/>
  <c r="C100" i="8"/>
  <c r="C103" i="8"/>
  <c r="C111" i="8" s="1"/>
  <c r="C127" i="8" s="1"/>
  <c r="C131" i="8" s="1"/>
  <c r="D120" i="6"/>
  <c r="C102" i="8"/>
  <c r="C104" i="8"/>
  <c r="D69" i="8"/>
  <c r="D77" i="8" s="1"/>
  <c r="D80" i="8" s="1"/>
  <c r="C97" i="8"/>
  <c r="C106" i="8"/>
  <c r="C101" i="8"/>
  <c r="C107" i="8"/>
  <c r="F96" i="10" l="1"/>
  <c r="F99" i="10"/>
  <c r="F98" i="10"/>
  <c r="F97" i="10"/>
  <c r="F100" i="10" s="1"/>
  <c r="F113" i="10" s="1"/>
  <c r="F114" i="10" s="1"/>
  <c r="C149" i="10" s="1"/>
  <c r="D149" i="10" s="1"/>
  <c r="F122" i="5"/>
  <c r="F91" i="5"/>
  <c r="D96" i="11"/>
  <c r="C96" i="11"/>
  <c r="E96" i="5"/>
  <c r="D96" i="5"/>
  <c r="C96" i="5"/>
  <c r="D64" i="9"/>
  <c r="D65" i="9"/>
  <c r="D66" i="9"/>
  <c r="D67" i="9"/>
  <c r="C112" i="8"/>
  <c r="C128" i="8" s="1"/>
  <c r="C132" i="8" s="1"/>
  <c r="C110" i="8"/>
  <c r="C126" i="8" s="1"/>
  <c r="C130" i="8" s="1"/>
  <c r="E69" i="8"/>
  <c r="E77" i="8" s="1"/>
  <c r="E80" i="8" s="1"/>
  <c r="E122" i="8" s="1"/>
  <c r="C69" i="9"/>
  <c r="C77" i="9" s="1"/>
  <c r="C80" i="9" s="1"/>
  <c r="I170" i="8"/>
  <c r="J170" i="8" s="1"/>
  <c r="I172" i="8"/>
  <c r="J172" i="8" s="1"/>
  <c r="I162" i="8"/>
  <c r="J162" i="8" s="1"/>
  <c r="I164" i="8"/>
  <c r="J164" i="8" s="1"/>
  <c r="I150" i="8"/>
  <c r="J150" i="8" s="1"/>
  <c r="C136" i="8"/>
  <c r="I160" i="8"/>
  <c r="J160" i="8" s="1"/>
  <c r="I145" i="8"/>
  <c r="J145" i="8" s="1"/>
  <c r="I140" i="8"/>
  <c r="J140" i="8" s="1"/>
  <c r="I155" i="8"/>
  <c r="J155" i="8" s="1"/>
  <c r="G164" i="8"/>
  <c r="H164" i="8" s="1"/>
  <c r="G170" i="8"/>
  <c r="H170" i="8" s="1"/>
  <c r="G140" i="8"/>
  <c r="H140" i="8" s="1"/>
  <c r="G160" i="8"/>
  <c r="H160" i="8" s="1"/>
  <c r="G172" i="8"/>
  <c r="H172" i="8" s="1"/>
  <c r="G145" i="8"/>
  <c r="H145" i="8" s="1"/>
  <c r="G150" i="8"/>
  <c r="H150" i="8" s="1"/>
  <c r="G155" i="8"/>
  <c r="H155" i="8" s="1"/>
  <c r="G162" i="8"/>
  <c r="H162" i="8" s="1"/>
  <c r="C135" i="8"/>
  <c r="AA29" i="3" s="1"/>
  <c r="E170" i="8"/>
  <c r="F170" i="8" s="1"/>
  <c r="E172" i="8"/>
  <c r="F172" i="8" s="1"/>
  <c r="E162" i="8"/>
  <c r="F162" i="8" s="1"/>
  <c r="E160" i="8"/>
  <c r="F160" i="8" s="1"/>
  <c r="E150" i="8"/>
  <c r="F150" i="8" s="1"/>
  <c r="E164" i="8"/>
  <c r="F164" i="8" s="1"/>
  <c r="E140" i="8"/>
  <c r="F140" i="8" s="1"/>
  <c r="E155" i="8"/>
  <c r="F155" i="8" s="1"/>
  <c r="C134" i="8"/>
  <c r="E145" i="8"/>
  <c r="F145" i="8" s="1"/>
  <c r="D120" i="9"/>
  <c r="E88" i="8"/>
  <c r="E91" i="8" s="1"/>
  <c r="E95" i="8" s="1"/>
  <c r="C108" i="8"/>
  <c r="C109" i="8"/>
  <c r="C125" i="8" s="1"/>
  <c r="C129" i="8" s="1"/>
  <c r="C122" i="6"/>
  <c r="C124" i="6" s="1"/>
  <c r="C95" i="6"/>
  <c r="C96" i="6" s="1"/>
  <c r="C105" i="6" s="1"/>
  <c r="C100" i="6"/>
  <c r="C107" i="6"/>
  <c r="D122" i="8"/>
  <c r="D124" i="8" s="1"/>
  <c r="D95" i="8"/>
  <c r="C105" i="8"/>
  <c r="C99" i="8"/>
  <c r="C98" i="8"/>
  <c r="F123" i="5" l="1"/>
  <c r="F124" i="5" s="1"/>
  <c r="F95" i="5"/>
  <c r="C108" i="11"/>
  <c r="C107" i="11"/>
  <c r="C106" i="11"/>
  <c r="C112" i="11" s="1"/>
  <c r="C128" i="11" s="1"/>
  <c r="C132" i="11" s="1"/>
  <c r="C136" i="11" s="1"/>
  <c r="C105" i="11"/>
  <c r="C104" i="11"/>
  <c r="C103" i="11"/>
  <c r="C111" i="11" s="1"/>
  <c r="C127" i="11" s="1"/>
  <c r="C131" i="11" s="1"/>
  <c r="C135" i="11" s="1"/>
  <c r="C102" i="11"/>
  <c r="C101" i="11"/>
  <c r="C100" i="11"/>
  <c r="C110" i="11" s="1"/>
  <c r="C126" i="11" s="1"/>
  <c r="C130" i="11" s="1"/>
  <c r="C134" i="11" s="1"/>
  <c r="AB20" i="3" s="1"/>
  <c r="C99" i="11"/>
  <c r="C98" i="11"/>
  <c r="C97" i="11"/>
  <c r="C109" i="11" s="1"/>
  <c r="C125" i="11" s="1"/>
  <c r="C129" i="11" s="1"/>
  <c r="C133" i="11" s="1"/>
  <c r="D108" i="11"/>
  <c r="D107" i="11"/>
  <c r="D106" i="11"/>
  <c r="D112" i="11" s="1"/>
  <c r="D128" i="11" s="1"/>
  <c r="D132" i="11" s="1"/>
  <c r="D105" i="11"/>
  <c r="D104" i="11"/>
  <c r="D103" i="11"/>
  <c r="D111" i="11" s="1"/>
  <c r="D127" i="11" s="1"/>
  <c r="D131" i="11" s="1"/>
  <c r="D102" i="11"/>
  <c r="D101" i="11"/>
  <c r="D100" i="11"/>
  <c r="D110" i="11" s="1"/>
  <c r="D126" i="11" s="1"/>
  <c r="D130" i="11" s="1"/>
  <c r="D99" i="11"/>
  <c r="D98" i="11"/>
  <c r="D97" i="11"/>
  <c r="D109" i="11" s="1"/>
  <c r="D125" i="11" s="1"/>
  <c r="D129" i="11" s="1"/>
  <c r="C99" i="10"/>
  <c r="C98" i="10"/>
  <c r="C97" i="10"/>
  <c r="C100" i="10" s="1"/>
  <c r="C113" i="10" s="1"/>
  <c r="C114" i="10" s="1"/>
  <c r="D99" i="10"/>
  <c r="D98" i="10"/>
  <c r="D97" i="10"/>
  <c r="D100" i="10" s="1"/>
  <c r="D113" i="10" s="1"/>
  <c r="D114" i="10" s="1"/>
  <c r="E99" i="10"/>
  <c r="E98" i="10"/>
  <c r="E97" i="10"/>
  <c r="E100" i="10" s="1"/>
  <c r="E113" i="10" s="1"/>
  <c r="E114" i="10" s="1"/>
  <c r="C148" i="10" s="1"/>
  <c r="D148" i="10" s="1"/>
  <c r="C108" i="5"/>
  <c r="C107" i="5"/>
  <c r="C106" i="5"/>
  <c r="C112" i="5" s="1"/>
  <c r="C128" i="5" s="1"/>
  <c r="C132" i="5" s="1"/>
  <c r="C136" i="5" s="1"/>
  <c r="C105" i="5"/>
  <c r="C104" i="5"/>
  <c r="C103" i="5"/>
  <c r="C111" i="5" s="1"/>
  <c r="C127" i="5" s="1"/>
  <c r="C131" i="5" s="1"/>
  <c r="C102" i="5"/>
  <c r="C101" i="5"/>
  <c r="C100" i="5"/>
  <c r="C110" i="5" s="1"/>
  <c r="C126" i="5" s="1"/>
  <c r="C130" i="5" s="1"/>
  <c r="C99" i="5"/>
  <c r="C98" i="5"/>
  <c r="C97" i="5"/>
  <c r="C109" i="5" s="1"/>
  <c r="C125" i="5" s="1"/>
  <c r="C129" i="5" s="1"/>
  <c r="D108" i="5"/>
  <c r="D107" i="5"/>
  <c r="D106" i="5"/>
  <c r="D112" i="5" s="1"/>
  <c r="D128" i="5" s="1"/>
  <c r="D132" i="5" s="1"/>
  <c r="D105" i="5"/>
  <c r="D104" i="5"/>
  <c r="D103" i="5"/>
  <c r="D111" i="5" s="1"/>
  <c r="D127" i="5" s="1"/>
  <c r="D131" i="5" s="1"/>
  <c r="D102" i="5"/>
  <c r="D101" i="5"/>
  <c r="D100" i="5"/>
  <c r="D110" i="5" s="1"/>
  <c r="D126" i="5" s="1"/>
  <c r="D130" i="5" s="1"/>
  <c r="D99" i="5"/>
  <c r="D98" i="5"/>
  <c r="D97" i="5"/>
  <c r="D109" i="5" s="1"/>
  <c r="D125" i="5" s="1"/>
  <c r="D129" i="5" s="1"/>
  <c r="E108" i="5"/>
  <c r="E107" i="5"/>
  <c r="E106" i="5"/>
  <c r="E112" i="5" s="1"/>
  <c r="E128" i="5" s="1"/>
  <c r="E132" i="5" s="1"/>
  <c r="E105" i="5"/>
  <c r="E104" i="5"/>
  <c r="E103" i="5"/>
  <c r="E111" i="5" s="1"/>
  <c r="E127" i="5" s="1"/>
  <c r="E131" i="5" s="1"/>
  <c r="E102" i="5"/>
  <c r="E101" i="5"/>
  <c r="E100" i="5"/>
  <c r="E110" i="5" s="1"/>
  <c r="E126" i="5" s="1"/>
  <c r="E130" i="5" s="1"/>
  <c r="E99" i="5"/>
  <c r="E98" i="5"/>
  <c r="E97" i="5"/>
  <c r="E109" i="5" s="1"/>
  <c r="E125" i="5" s="1"/>
  <c r="E129" i="5" s="1"/>
  <c r="C122" i="9"/>
  <c r="C124" i="9" s="1"/>
  <c r="C95" i="9"/>
  <c r="G172" i="5"/>
  <c r="H172" i="5" s="1"/>
  <c r="G160" i="5"/>
  <c r="H160" i="5" s="1"/>
  <c r="G140" i="5"/>
  <c r="H140" i="5" s="1"/>
  <c r="G174" i="5"/>
  <c r="H174" i="5" s="1"/>
  <c r="G155" i="5"/>
  <c r="H155" i="5" s="1"/>
  <c r="G150" i="5"/>
  <c r="H150" i="5" s="1"/>
  <c r="G145" i="5"/>
  <c r="H145" i="5" s="1"/>
  <c r="G162" i="5"/>
  <c r="H162" i="5" s="1"/>
  <c r="G164" i="5"/>
  <c r="H164" i="5" s="1"/>
  <c r="I164" i="5"/>
  <c r="J164" i="5" s="1"/>
  <c r="I150" i="5"/>
  <c r="J150" i="5" s="1"/>
  <c r="I174" i="5"/>
  <c r="J174" i="5" s="1"/>
  <c r="I145" i="5"/>
  <c r="J145" i="5" s="1"/>
  <c r="I172" i="5"/>
  <c r="J172" i="5" s="1"/>
  <c r="I140" i="5"/>
  <c r="J140" i="5" s="1"/>
  <c r="I162" i="5"/>
  <c r="J162" i="5" s="1"/>
  <c r="I160" i="5"/>
  <c r="J160" i="5" s="1"/>
  <c r="I155" i="5"/>
  <c r="J155" i="5" s="1"/>
  <c r="E164" i="5"/>
  <c r="F164" i="5" s="1"/>
  <c r="E150" i="5"/>
  <c r="F150" i="5" s="1"/>
  <c r="E172" i="5"/>
  <c r="F172" i="5" s="1"/>
  <c r="E140" i="5"/>
  <c r="F140" i="5" s="1"/>
  <c r="E162" i="5"/>
  <c r="F162" i="5" s="1"/>
  <c r="E155" i="5"/>
  <c r="F155" i="5" s="1"/>
  <c r="E145" i="5"/>
  <c r="F145" i="5" s="1"/>
  <c r="E160" i="5"/>
  <c r="F160" i="5" s="1"/>
  <c r="E174" i="5"/>
  <c r="F174" i="5" s="1"/>
  <c r="D122" i="6"/>
  <c r="D124" i="6" s="1"/>
  <c r="D95" i="6"/>
  <c r="C99" i="6"/>
  <c r="C108" i="6"/>
  <c r="C110" i="6"/>
  <c r="C126" i="6" s="1"/>
  <c r="C130" i="6" s="1"/>
  <c r="C101" i="6"/>
  <c r="C164" i="5"/>
  <c r="D164" i="5" s="1"/>
  <c r="C150" i="5"/>
  <c r="D150" i="5" s="1"/>
  <c r="C162" i="5"/>
  <c r="D162" i="5" s="1"/>
  <c r="C160" i="5"/>
  <c r="D160" i="5" s="1"/>
  <c r="C155" i="5"/>
  <c r="D155" i="5" s="1"/>
  <c r="C174" i="5"/>
  <c r="D174" i="5" s="1"/>
  <c r="C140" i="5"/>
  <c r="D140" i="5" s="1"/>
  <c r="C145" i="5"/>
  <c r="D145" i="5" s="1"/>
  <c r="C172" i="5"/>
  <c r="D172" i="5" s="1"/>
  <c r="D69" i="9"/>
  <c r="D77" i="9" s="1"/>
  <c r="D80" i="9" s="1"/>
  <c r="C97" i="6"/>
  <c r="C109" i="6" s="1"/>
  <c r="C125" i="6" s="1"/>
  <c r="C129" i="6" s="1"/>
  <c r="C106" i="6"/>
  <c r="C112" i="6" s="1"/>
  <c r="C128" i="6" s="1"/>
  <c r="C132" i="6" s="1"/>
  <c r="C136" i="6" s="1"/>
  <c r="C104" i="6"/>
  <c r="E96" i="8"/>
  <c r="E97" i="8" s="1"/>
  <c r="E123" i="8"/>
  <c r="E124" i="8" s="1"/>
  <c r="E99" i="8"/>
  <c r="AA31" i="3"/>
  <c r="AA33" i="3"/>
  <c r="AA34" i="3"/>
  <c r="AA30" i="3"/>
  <c r="AA35" i="3"/>
  <c r="AA26" i="3"/>
  <c r="AA28" i="3"/>
  <c r="AA24" i="3"/>
  <c r="AA36" i="3"/>
  <c r="AA25" i="3"/>
  <c r="AA32" i="3"/>
  <c r="D96" i="8"/>
  <c r="C103" i="6"/>
  <c r="C111" i="6" s="1"/>
  <c r="C127" i="6" s="1"/>
  <c r="C131" i="6" s="1"/>
  <c r="C135" i="6" s="1"/>
  <c r="AB13" i="3" s="1"/>
  <c r="C98" i="6"/>
  <c r="C102" i="6"/>
  <c r="E106" i="8"/>
  <c r="C170" i="8"/>
  <c r="D170" i="8" s="1"/>
  <c r="C172" i="8"/>
  <c r="D172" i="8" s="1"/>
  <c r="C162" i="8"/>
  <c r="D162" i="8" s="1"/>
  <c r="C164" i="8"/>
  <c r="D164" i="8" s="1"/>
  <c r="C150" i="8"/>
  <c r="D150" i="8" s="1"/>
  <c r="C133" i="8"/>
  <c r="C145" i="8"/>
  <c r="D145" i="8" s="1"/>
  <c r="C140" i="8"/>
  <c r="D140" i="8" s="1"/>
  <c r="C160" i="8"/>
  <c r="D160" i="8" s="1"/>
  <c r="C155" i="8"/>
  <c r="D155" i="8" s="1"/>
  <c r="E98" i="8"/>
  <c r="E103" i="8"/>
  <c r="AA27" i="3"/>
  <c r="D150" i="10" l="1"/>
  <c r="T20" i="3" s="1"/>
  <c r="F96" i="5"/>
  <c r="F108" i="5"/>
  <c r="F107" i="5"/>
  <c r="F106" i="5"/>
  <c r="F112" i="5" s="1"/>
  <c r="F128" i="5" s="1"/>
  <c r="F132" i="5" s="1"/>
  <c r="I170" i="5" s="1"/>
  <c r="J170" i="5" s="1"/>
  <c r="F105" i="5"/>
  <c r="F104" i="5"/>
  <c r="F103" i="5"/>
  <c r="F111" i="5" s="1"/>
  <c r="F127" i="5" s="1"/>
  <c r="F131" i="5" s="1"/>
  <c r="G170" i="5" s="1"/>
  <c r="H170" i="5" s="1"/>
  <c r="F102" i="5"/>
  <c r="F101" i="5"/>
  <c r="F100" i="5"/>
  <c r="F110" i="5" s="1"/>
  <c r="F126" i="5" s="1"/>
  <c r="F130" i="5" s="1"/>
  <c r="E170" i="5" s="1"/>
  <c r="F170" i="5" s="1"/>
  <c r="F99" i="5"/>
  <c r="F98" i="5"/>
  <c r="F97" i="5"/>
  <c r="F109" i="5" s="1"/>
  <c r="F125" i="5" s="1"/>
  <c r="F129" i="5" s="1"/>
  <c r="C170" i="5" s="1"/>
  <c r="D170" i="5" s="1"/>
  <c r="C133" i="5"/>
  <c r="AA19" i="3" s="1"/>
  <c r="C134" i="5"/>
  <c r="C135" i="5"/>
  <c r="AA13" i="3" s="1"/>
  <c r="Z20" i="3"/>
  <c r="C153" i="10"/>
  <c r="D153" i="10" s="1"/>
  <c r="D154" i="10" s="1"/>
  <c r="X20" i="3" s="1"/>
  <c r="C151" i="10"/>
  <c r="D151" i="10" s="1"/>
  <c r="D152" i="10" s="1"/>
  <c r="V20" i="3" s="1"/>
  <c r="C143" i="10"/>
  <c r="D143" i="10" s="1"/>
  <c r="D144" i="10" s="1"/>
  <c r="R20" i="3" s="1"/>
  <c r="C141" i="10"/>
  <c r="D141" i="10" s="1"/>
  <c r="D142" i="10" s="1"/>
  <c r="P20" i="3" s="1"/>
  <c r="C139" i="10"/>
  <c r="D139" i="10" s="1"/>
  <c r="D140" i="10" s="1"/>
  <c r="N20" i="3" s="1"/>
  <c r="C134" i="10"/>
  <c r="D134" i="10" s="1"/>
  <c r="D135" i="10" s="1"/>
  <c r="L20" i="3" s="1"/>
  <c r="C129" i="10"/>
  <c r="D129" i="10" s="1"/>
  <c r="D130" i="10" s="1"/>
  <c r="J20" i="3" s="1"/>
  <c r="C124" i="10"/>
  <c r="D124" i="10" s="1"/>
  <c r="D125" i="10" s="1"/>
  <c r="H20" i="3" s="1"/>
  <c r="C119" i="10"/>
  <c r="D119" i="10" s="1"/>
  <c r="D120" i="10" s="1"/>
  <c r="F20" i="3" s="1"/>
  <c r="C115" i="10"/>
  <c r="AA20" i="3" s="1"/>
  <c r="AA17" i="3"/>
  <c r="C96" i="9"/>
  <c r="C103" i="9"/>
  <c r="C111" i="9" s="1"/>
  <c r="C127" i="9" s="1"/>
  <c r="C131" i="9" s="1"/>
  <c r="C135" i="9" s="1"/>
  <c r="C107" i="9"/>
  <c r="C104" i="9"/>
  <c r="C108" i="9"/>
  <c r="C101" i="9"/>
  <c r="C100" i="9"/>
  <c r="C110" i="9" s="1"/>
  <c r="C126" i="9" s="1"/>
  <c r="C130" i="9" s="1"/>
  <c r="C99" i="9"/>
  <c r="C106" i="9"/>
  <c r="C112" i="9" s="1"/>
  <c r="C128" i="9" s="1"/>
  <c r="C132" i="9" s="1"/>
  <c r="C134" i="6"/>
  <c r="Z10" i="3"/>
  <c r="Z15" i="3"/>
  <c r="Z18" i="3"/>
  <c r="C133" i="6"/>
  <c r="Z8" i="3"/>
  <c r="AB11" i="3"/>
  <c r="D103" i="8"/>
  <c r="D111" i="8" s="1"/>
  <c r="D127" i="8" s="1"/>
  <c r="D131" i="8" s="1"/>
  <c r="H173" i="8"/>
  <c r="J173" i="8"/>
  <c r="F173" i="8"/>
  <c r="D102" i="8"/>
  <c r="E101" i="8"/>
  <c r="E107" i="8"/>
  <c r="E104" i="8"/>
  <c r="E108" i="8"/>
  <c r="E105" i="8"/>
  <c r="E102" i="8"/>
  <c r="D106" i="8"/>
  <c r="D112" i="8" s="1"/>
  <c r="D128" i="8" s="1"/>
  <c r="D132" i="8" s="1"/>
  <c r="D122" i="9"/>
  <c r="D124" i="9" s="1"/>
  <c r="D95" i="9"/>
  <c r="D96" i="9"/>
  <c r="D98" i="9"/>
  <c r="D99" i="9"/>
  <c r="D107" i="9"/>
  <c r="D105" i="8"/>
  <c r="D96" i="6"/>
  <c r="D101" i="6"/>
  <c r="H156" i="8"/>
  <c r="D156" i="8"/>
  <c r="J156" i="8"/>
  <c r="F156" i="8"/>
  <c r="J161" i="8"/>
  <c r="F161" i="8"/>
  <c r="H161" i="8"/>
  <c r="D161" i="8"/>
  <c r="D173" i="8"/>
  <c r="D107" i="8"/>
  <c r="D97" i="8"/>
  <c r="D100" i="8"/>
  <c r="D108" i="8"/>
  <c r="D98" i="8"/>
  <c r="H165" i="8"/>
  <c r="F165" i="8"/>
  <c r="J165" i="8"/>
  <c r="D165" i="8"/>
  <c r="D99" i="8"/>
  <c r="E100" i="8"/>
  <c r="E110" i="8" s="1"/>
  <c r="E126" i="8" s="1"/>
  <c r="E130" i="8" s="1"/>
  <c r="E169" i="8" s="1"/>
  <c r="F169" i="8" s="1"/>
  <c r="D101" i="8"/>
  <c r="E109" i="8"/>
  <c r="E125" i="8" s="1"/>
  <c r="E129" i="8" s="1"/>
  <c r="C169" i="8" s="1"/>
  <c r="D169" i="8" s="1"/>
  <c r="E111" i="8"/>
  <c r="E127" i="8" s="1"/>
  <c r="E131" i="8" s="1"/>
  <c r="G169" i="8" s="1"/>
  <c r="H169" i="8" s="1"/>
  <c r="AA14" i="3"/>
  <c r="AA7" i="3"/>
  <c r="AA6" i="3"/>
  <c r="AA8" i="3"/>
  <c r="D104" i="8"/>
  <c r="D109" i="8"/>
  <c r="D125" i="8" s="1"/>
  <c r="D129" i="8" s="1"/>
  <c r="D105" i="6"/>
  <c r="D99" i="6"/>
  <c r="D98" i="6"/>
  <c r="D107" i="6"/>
  <c r="AA21" i="3"/>
  <c r="AA18" i="3"/>
  <c r="AA12" i="3"/>
  <c r="AA15" i="3"/>
  <c r="AA22" i="3"/>
  <c r="AA16" i="3"/>
  <c r="AA10" i="3"/>
  <c r="AA9" i="3"/>
  <c r="F141" i="8"/>
  <c r="J141" i="8"/>
  <c r="H141" i="8"/>
  <c r="D141" i="8"/>
  <c r="J146" i="8"/>
  <c r="F146" i="8"/>
  <c r="H146" i="8"/>
  <c r="J171" i="8"/>
  <c r="F171" i="8"/>
  <c r="H171" i="8"/>
  <c r="D171" i="8"/>
  <c r="D146" i="8"/>
  <c r="AA37" i="3"/>
  <c r="I169" i="5"/>
  <c r="J169" i="5" s="1"/>
  <c r="J171" i="5" s="1"/>
  <c r="C169" i="5"/>
  <c r="D169" i="5" s="1"/>
  <c r="D171" i="5" s="1"/>
  <c r="E112" i="8"/>
  <c r="E128" i="8" s="1"/>
  <c r="E132" i="8" s="1"/>
  <c r="I169" i="8" s="1"/>
  <c r="J169" i="8" s="1"/>
  <c r="D110" i="8"/>
  <c r="D126" i="8" s="1"/>
  <c r="D130" i="8" s="1"/>
  <c r="AA11" i="3"/>
  <c r="H151" i="8"/>
  <c r="F151" i="8"/>
  <c r="J151" i="8"/>
  <c r="D151" i="8"/>
  <c r="H163" i="8"/>
  <c r="J163" i="8"/>
  <c r="F163" i="8"/>
  <c r="D163" i="8"/>
  <c r="H27" i="3" l="1"/>
  <c r="H29" i="3"/>
  <c r="AB17" i="3"/>
  <c r="D97" i="9"/>
  <c r="D102" i="9"/>
  <c r="D100" i="9"/>
  <c r="C136" i="9"/>
  <c r="C134" i="9"/>
  <c r="Z26" i="3"/>
  <c r="Z35" i="3"/>
  <c r="AB27" i="3"/>
  <c r="AB29" i="3"/>
  <c r="C105" i="9"/>
  <c r="C97" i="9"/>
  <c r="C109" i="9" s="1"/>
  <c r="C125" i="9" s="1"/>
  <c r="C129" i="9" s="1"/>
  <c r="C133" i="9" s="1"/>
  <c r="C98" i="9"/>
  <c r="C102" i="9"/>
  <c r="AA23" i="3"/>
  <c r="AA39" i="3" s="1"/>
  <c r="N33" i="3"/>
  <c r="N34" i="3"/>
  <c r="N30" i="3"/>
  <c r="N35" i="3"/>
  <c r="N31" i="3"/>
  <c r="N26" i="3"/>
  <c r="D101" i="9"/>
  <c r="D106" i="9"/>
  <c r="D112" i="9" s="1"/>
  <c r="D128" i="9" s="1"/>
  <c r="D132" i="9" s="1"/>
  <c r="E169" i="5"/>
  <c r="F169" i="5" s="1"/>
  <c r="F171" i="5" s="1"/>
  <c r="X36" i="3"/>
  <c r="X25" i="3"/>
  <c r="X32" i="3"/>
  <c r="X28" i="3"/>
  <c r="X24" i="3"/>
  <c r="F27" i="3"/>
  <c r="F29" i="3"/>
  <c r="L28" i="3"/>
  <c r="L32" i="3"/>
  <c r="L36" i="3"/>
  <c r="L25" i="3"/>
  <c r="L24" i="3"/>
  <c r="X30" i="3"/>
  <c r="X34" i="3"/>
  <c r="X35" i="3"/>
  <c r="X31" i="3"/>
  <c r="X26" i="3"/>
  <c r="X33" i="3"/>
  <c r="F25" i="3"/>
  <c r="F36" i="3"/>
  <c r="F32" i="3"/>
  <c r="F28" i="3"/>
  <c r="F24" i="3"/>
  <c r="H32" i="3"/>
  <c r="H28" i="3"/>
  <c r="H25" i="3"/>
  <c r="H24" i="3"/>
  <c r="N24" i="3"/>
  <c r="N36" i="3"/>
  <c r="N25" i="3"/>
  <c r="N32" i="3"/>
  <c r="N28" i="3"/>
  <c r="D104" i="9"/>
  <c r="D103" i="9"/>
  <c r="D111" i="9" s="1"/>
  <c r="D127" i="9" s="1"/>
  <c r="D131" i="9" s="1"/>
  <c r="D109" i="9"/>
  <c r="D125" i="9" s="1"/>
  <c r="D110" i="9"/>
  <c r="D126" i="9" s="1"/>
  <c r="D130" i="9"/>
  <c r="D129" i="9"/>
  <c r="G169" i="5"/>
  <c r="H169" i="5" s="1"/>
  <c r="H171" i="5" s="1"/>
  <c r="N29" i="3"/>
  <c r="N27" i="3"/>
  <c r="H26" i="3"/>
  <c r="H34" i="3"/>
  <c r="H33" i="3"/>
  <c r="H31" i="3"/>
  <c r="J33" i="3"/>
  <c r="J30" i="3"/>
  <c r="J26" i="3"/>
  <c r="F35" i="3"/>
  <c r="F33" i="3"/>
  <c r="F30" i="3"/>
  <c r="F31" i="3"/>
  <c r="F26" i="3"/>
  <c r="F34" i="3"/>
  <c r="L34" i="3"/>
  <c r="L31" i="3"/>
  <c r="L26" i="3"/>
  <c r="L33" i="3"/>
  <c r="L30" i="3"/>
  <c r="L35" i="3"/>
  <c r="L29" i="3"/>
  <c r="L27" i="3"/>
  <c r="D108" i="6"/>
  <c r="D102" i="6"/>
  <c r="D97" i="6"/>
  <c r="D109" i="6" s="1"/>
  <c r="D125" i="6" s="1"/>
  <c r="D129" i="6" s="1"/>
  <c r="D103" i="6"/>
  <c r="D111" i="6" s="1"/>
  <c r="D127" i="6" s="1"/>
  <c r="D131" i="6" s="1"/>
  <c r="D100" i="6"/>
  <c r="D110" i="6" s="1"/>
  <c r="D126" i="6" s="1"/>
  <c r="D130" i="6" s="1"/>
  <c r="D106" i="6"/>
  <c r="D112" i="6" s="1"/>
  <c r="D128" i="6" s="1"/>
  <c r="D132" i="6" s="1"/>
  <c r="D104" i="6"/>
  <c r="D108" i="9"/>
  <c r="D105" i="9"/>
  <c r="X27" i="3"/>
  <c r="X29" i="3"/>
  <c r="AB19" i="3"/>
  <c r="AB8" i="3"/>
  <c r="AB14" i="3"/>
  <c r="AB7" i="3"/>
  <c r="AB6" i="3"/>
  <c r="AB15" i="3"/>
  <c r="AB21" i="3"/>
  <c r="AB22" i="3"/>
  <c r="AB16" i="3"/>
  <c r="AB10" i="3"/>
  <c r="AB9" i="3"/>
  <c r="AB18" i="3"/>
  <c r="AB12" i="3"/>
  <c r="Z13" i="3" l="1"/>
  <c r="Z27" i="3"/>
  <c r="Z24" i="3"/>
  <c r="Z17" i="3"/>
  <c r="Y31" i="3"/>
  <c r="Y32" i="3"/>
  <c r="AB33" i="3"/>
  <c r="AB30" i="3"/>
  <c r="AB34" i="3"/>
  <c r="AB35" i="3"/>
  <c r="AB26" i="3"/>
  <c r="AB31" i="3"/>
  <c r="AB32" i="3"/>
  <c r="AB28" i="3"/>
  <c r="AB36" i="3"/>
  <c r="AB25" i="3"/>
  <c r="AB24" i="3"/>
  <c r="AB23" i="3"/>
  <c r="Z11" i="3"/>
  <c r="F165" i="5"/>
  <c r="J165" i="5"/>
  <c r="H165" i="5"/>
  <c r="R13" i="3" s="1"/>
  <c r="D165" i="5"/>
  <c r="J146" i="5"/>
  <c r="F146" i="5"/>
  <c r="H146" i="5"/>
  <c r="H13" i="3" s="1"/>
  <c r="D146" i="5"/>
  <c r="Z16" i="3"/>
  <c r="Z9" i="3"/>
  <c r="Z19" i="3"/>
  <c r="Z14" i="3"/>
  <c r="Y30" i="3"/>
  <c r="Y36" i="3"/>
  <c r="F173" i="5"/>
  <c r="J173" i="5"/>
  <c r="H173" i="5"/>
  <c r="V13" i="3" s="1"/>
  <c r="D173" i="5"/>
  <c r="H151" i="5"/>
  <c r="J13" i="3" s="1"/>
  <c r="J151" i="5"/>
  <c r="F151" i="5"/>
  <c r="D151" i="5"/>
  <c r="J163" i="5"/>
  <c r="F163" i="5"/>
  <c r="H163" i="5"/>
  <c r="P13" i="3" s="1"/>
  <c r="D163" i="5"/>
  <c r="Y27" i="3"/>
  <c r="Y29" i="3"/>
  <c r="Y34" i="3"/>
  <c r="Y33" i="3"/>
  <c r="Y24" i="3"/>
  <c r="Y25" i="3"/>
  <c r="H156" i="5"/>
  <c r="L13" i="3" s="1"/>
  <c r="D156" i="5"/>
  <c r="F156" i="5"/>
  <c r="J156" i="5"/>
  <c r="J175" i="5"/>
  <c r="F175" i="5"/>
  <c r="H175" i="5"/>
  <c r="X13" i="3" s="1"/>
  <c r="D175" i="5"/>
  <c r="Y26" i="3"/>
  <c r="Y35" i="3"/>
  <c r="T13" i="3"/>
  <c r="Z34" i="3"/>
  <c r="Z30" i="3"/>
  <c r="Y28" i="3"/>
  <c r="F141" i="5"/>
  <c r="J141" i="5"/>
  <c r="D141" i="5"/>
  <c r="H141" i="5"/>
  <c r="F13" i="3" s="1"/>
  <c r="H161" i="5"/>
  <c r="N13" i="3" s="1"/>
  <c r="J161" i="5"/>
  <c r="F161" i="5"/>
  <c r="D161" i="5"/>
  <c r="AB37" i="3" l="1"/>
  <c r="AB39" i="3" s="1"/>
  <c r="N17" i="3"/>
  <c r="F17" i="3"/>
  <c r="X17" i="3"/>
  <c r="L17" i="3"/>
  <c r="T17" i="3"/>
  <c r="P17" i="3"/>
  <c r="J17" i="3"/>
  <c r="V17" i="3"/>
  <c r="H17" i="3"/>
  <c r="R17" i="3"/>
  <c r="Y13" i="3"/>
  <c r="Z37" i="3"/>
  <c r="T21" i="3"/>
  <c r="T10" i="3"/>
  <c r="T22" i="3"/>
  <c r="T15" i="3"/>
  <c r="T18" i="3"/>
  <c r="T16" i="3"/>
  <c r="T9" i="3"/>
  <c r="T12" i="3"/>
  <c r="F18" i="3"/>
  <c r="F12" i="3"/>
  <c r="F21" i="3"/>
  <c r="F22" i="3"/>
  <c r="F15" i="3"/>
  <c r="F16" i="3"/>
  <c r="F10" i="3"/>
  <c r="F9" i="3"/>
  <c r="N18" i="3"/>
  <c r="N16" i="3"/>
  <c r="N10" i="3"/>
  <c r="N9" i="3"/>
  <c r="N12" i="3"/>
  <c r="N21" i="3"/>
  <c r="N22" i="3"/>
  <c r="N15" i="3"/>
  <c r="P11" i="3"/>
  <c r="R19" i="3"/>
  <c r="R6" i="3"/>
  <c r="R14" i="3"/>
  <c r="R7" i="3"/>
  <c r="R8" i="3"/>
  <c r="N11" i="3"/>
  <c r="X22" i="3"/>
  <c r="X15" i="3"/>
  <c r="X12" i="3"/>
  <c r="X16" i="3"/>
  <c r="X10" i="3"/>
  <c r="X9" i="3"/>
  <c r="X18" i="3"/>
  <c r="X21" i="3"/>
  <c r="L6" i="3"/>
  <c r="L8" i="3"/>
  <c r="L19" i="3"/>
  <c r="L14" i="3"/>
  <c r="L7" i="3"/>
  <c r="T11" i="3"/>
  <c r="J14" i="3"/>
  <c r="J7" i="3"/>
  <c r="J8" i="3"/>
  <c r="J19" i="3"/>
  <c r="J6" i="3"/>
  <c r="V11" i="3"/>
  <c r="Z23" i="3"/>
  <c r="Z39" i="3" s="1"/>
  <c r="F14" i="3"/>
  <c r="F7" i="3"/>
  <c r="F19" i="3"/>
  <c r="F6" i="3"/>
  <c r="F8" i="3"/>
  <c r="L21" i="3"/>
  <c r="L10" i="3"/>
  <c r="L22" i="3"/>
  <c r="L15" i="3"/>
  <c r="L18" i="3"/>
  <c r="L16" i="3"/>
  <c r="L9" i="3"/>
  <c r="L12" i="3"/>
  <c r="T6" i="3"/>
  <c r="T14" i="3"/>
  <c r="T7" i="3"/>
  <c r="T8" i="3"/>
  <c r="T19" i="3"/>
  <c r="P19" i="3"/>
  <c r="P8" i="3"/>
  <c r="P6" i="3"/>
  <c r="P14" i="3"/>
  <c r="P7" i="3"/>
  <c r="R16" i="3"/>
  <c r="R9" i="3"/>
  <c r="R21" i="3"/>
  <c r="R12" i="3"/>
  <c r="R22" i="3"/>
  <c r="R15" i="3"/>
  <c r="R10" i="3"/>
  <c r="R18" i="3"/>
  <c r="N14" i="3"/>
  <c r="N7" i="3"/>
  <c r="N19" i="3"/>
  <c r="N6" i="3"/>
  <c r="N8" i="3"/>
  <c r="F11" i="3"/>
  <c r="X19" i="3"/>
  <c r="X8" i="3"/>
  <c r="X6" i="3"/>
  <c r="X14" i="3"/>
  <c r="X7" i="3"/>
  <c r="X11" i="3"/>
  <c r="Y37" i="3"/>
  <c r="J16" i="3"/>
  <c r="J9" i="3"/>
  <c r="J22" i="3"/>
  <c r="J15" i="3"/>
  <c r="J10" i="3"/>
  <c r="J18" i="3"/>
  <c r="J21" i="3"/>
  <c r="J12" i="3"/>
  <c r="V14" i="3"/>
  <c r="V7" i="3"/>
  <c r="V8" i="3"/>
  <c r="V19" i="3"/>
  <c r="V6" i="3"/>
  <c r="V18" i="3"/>
  <c r="V22" i="3"/>
  <c r="V15" i="3"/>
  <c r="V16" i="3"/>
  <c r="V10" i="3"/>
  <c r="V9" i="3"/>
  <c r="V12" i="3"/>
  <c r="V21" i="3"/>
  <c r="H22" i="3"/>
  <c r="H15" i="3"/>
  <c r="H12" i="3"/>
  <c r="H21" i="3"/>
  <c r="H16" i="3"/>
  <c r="H10" i="3"/>
  <c r="H9" i="3"/>
  <c r="H18" i="3"/>
  <c r="L11" i="3"/>
  <c r="P22" i="3"/>
  <c r="P15" i="3"/>
  <c r="P12" i="3"/>
  <c r="P18" i="3"/>
  <c r="P21" i="3"/>
  <c r="P16" i="3"/>
  <c r="P10" i="3"/>
  <c r="P9" i="3"/>
  <c r="J11" i="3"/>
  <c r="H19" i="3"/>
  <c r="H8" i="3"/>
  <c r="H6" i="3"/>
  <c r="H14" i="3"/>
  <c r="H7" i="3"/>
  <c r="H11" i="3"/>
  <c r="R11" i="3"/>
  <c r="Y8" i="3" l="1"/>
  <c r="Y22" i="3"/>
  <c r="Y6" i="3"/>
  <c r="Y10" i="3"/>
  <c r="Y21" i="3"/>
  <c r="Y11" i="3"/>
  <c r="Y14" i="3"/>
  <c r="Y9" i="3"/>
  <c r="Y19" i="3"/>
  <c r="Y16" i="3"/>
  <c r="Y12" i="3"/>
  <c r="Y20" i="3"/>
  <c r="Y17" i="3"/>
  <c r="Y7" i="3"/>
  <c r="Y15" i="3"/>
  <c r="Y18" i="3"/>
  <c r="Y23" i="3" l="1"/>
  <c r="Y39" i="3" l="1"/>
  <c r="AC41" i="3" s="1"/>
  <c r="D6" i="3"/>
  <c r="B4" i="4"/>
  <c r="AC42" i="3" l="1"/>
  <c r="A3" i="8"/>
  <c r="A3" i="6"/>
  <c r="A3" i="11"/>
  <c r="A3" i="10"/>
  <c r="A3" i="5"/>
  <c r="A3" i="9"/>
</calcChain>
</file>

<file path=xl/sharedStrings.xml><?xml version="1.0" encoding="utf-8"?>
<sst xmlns="http://schemas.openxmlformats.org/spreadsheetml/2006/main" count="1988" uniqueCount="543">
  <si>
    <t>MEMÓRIA DE CÁLCULO</t>
  </si>
  <si>
    <t>Premissas Utilizadas</t>
  </si>
  <si>
    <t>Quantidade média de dias úteis no mês</t>
  </si>
  <si>
    <t>Quantidade de dias no mês</t>
  </si>
  <si>
    <t>Módulo 1</t>
  </si>
  <si>
    <t>Salário Normativo</t>
  </si>
  <si>
    <t>CCT</t>
  </si>
  <si>
    <t>Data Base</t>
  </si>
  <si>
    <t>CBO</t>
  </si>
  <si>
    <t>CCT - Porto União</t>
  </si>
  <si>
    <t xml:space="preserve"> SC000150/2023</t>
  </si>
  <si>
    <t>5143-20</t>
  </si>
  <si>
    <t xml:space="preserve"> SC000078/2023</t>
  </si>
  <si>
    <t>Carga horária semanal</t>
  </si>
  <si>
    <t>Salário Base (Cl. 3ª 01)</t>
  </si>
  <si>
    <t>Encarregado de 16 a 35 empregados</t>
  </si>
  <si>
    <t>+ 20% insalubridade</t>
  </si>
  <si>
    <t xml:space="preserve">Valor da diária do carregador </t>
  </si>
  <si>
    <t>Valor baseado em Pesquisa de Preços anexa ao Processo</t>
  </si>
  <si>
    <t>módulo 2</t>
  </si>
  <si>
    <t>Módulo 2.3</t>
  </si>
  <si>
    <t>custo empregado</t>
  </si>
  <si>
    <t>custo da empresa</t>
  </si>
  <si>
    <t>Módulo 2.3 - Porto União</t>
  </si>
  <si>
    <t>Auxílio alimentação 44h  ( Cl.12ª)</t>
  </si>
  <si>
    <t>Auxílio alimentação 44h  ( Cl.13ª)</t>
  </si>
  <si>
    <t>Auxílio alimentação 30h  ( Cl.12ª)</t>
  </si>
  <si>
    <t>Auxílio alimentação 30h  ( Cl.13ª)</t>
  </si>
  <si>
    <t>Auxílio transporte  ( Cl.14ª)</t>
  </si>
  <si>
    <t>Prêmio Assiduidade  ( Cl.11º)</t>
  </si>
  <si>
    <t>Assistência ao Trabalhador  ( Cl.16º)</t>
  </si>
  <si>
    <t>Cesta básica  ( Cl.12º) 44h</t>
  </si>
  <si>
    <t>Cesta básica  ( Cl.12º) 30h</t>
  </si>
  <si>
    <t>Módulo 3</t>
  </si>
  <si>
    <t>3.1 -A - Aviso Prévio Indenizado:  Fórmula do Percentual: 1/12 x 5% = 0,42%; Fórmula: Total da Remuneração x 0,42%</t>
  </si>
  <si>
    <t>→ Proporção estimada dos empregados demitidos com Aviso Prévio Indenizado, no primeiro período de 12 meses, durante a vigência do contrato: 5%.</t>
  </si>
  <si>
    <t>C - Multa do FGTS sobre Aviso Prévio Indenizado -</t>
  </si>
  <si>
    <t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</si>
  <si>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>D - Aviso Prévio Trabalhado: Fórmula do Percentual: 1 / 30 dias x 7 dias / 12 meses = 1,94%; Fórmula: Total da Remuneração x 1,</t>
  </si>
  <si>
    <t>→ Foi considerado que 100% dos empregados seriam demitidos com Aviso Prévio Trabalhado ao final do contrato.</t>
  </si>
  <si>
    <t>(Esta parcela e seus reflexos  deverão ser reduzidos após o primeiro ano da contratação para o percentual máximo de 0,194% e, 0,072%, respectivamente: Acórdão 1.186/2017-P).</t>
  </si>
  <si>
    <t>OBS: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</si>
  <si>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>F - Multa FGTS e contribuição social - Fórmula do Percentual: Alíquota do FGTS (8%) x Multa do FGTS (40%) x 90% x (1 + 1/12 + 1/12 + 1/3 x 1/12) = 3,44% ; Fórmula: (Total da Remuneração) x 3,44%</t>
  </si>
  <si>
    <t>→ Foi considerado que 10% dos empregados pedem as contas.</t>
  </si>
  <si>
    <t>Módulo 4</t>
  </si>
  <si>
    <t>4.1 - Substituto nas Ausências Legais</t>
  </si>
  <si>
    <t>A - Substituto na cobertura de Férias</t>
  </si>
  <si>
    <t>Provisão para as despesas com o pagamento do substituto do empregado residente, quando este se ausentar em razões de suas férias - Fórmula do Percentual: 1/12 = 8,33% ; Fórmula: (MÓDULO 1 + 2 + 3) x 8,33%</t>
  </si>
  <si>
    <t>B – Subs. cobertura de Ausências Legais</t>
  </si>
  <si>
    <t>Provisão para cobertura das despesas eventuais com outras faltas legais (justificadas ou abonadas por lei) - Fórmula do Percentual: Média de ausências por ano * (4,874) / dias do mês (30) / doze meses = 1,3538%;    Fórmula: (MÓDULO 1 + 2 + 3) x 1,3538%</t>
  </si>
  <si>
    <t>Ausência justificada</t>
  </si>
  <si>
    <t>Afastamento por doença</t>
  </si>
  <si>
    <t>* Fonte: Caderno técnico de Limpeza 2019 - Paraná - SEGES/ME</t>
  </si>
  <si>
    <t>Consulta médica filho</t>
  </si>
  <si>
    <t>Óbitos na família</t>
  </si>
  <si>
    <t>Casamento</t>
  </si>
  <si>
    <t>Doação de sangue</t>
  </si>
  <si>
    <t>Testemunho</t>
  </si>
  <si>
    <t>Consulta pré-natal</t>
  </si>
  <si>
    <t>TOTAL</t>
  </si>
  <si>
    <t>C - Subst. cobertura de Licença Parternidade</t>
  </si>
  <si>
    <t>Fórmula do Percentual: 5 dias de licença (5 / 30) / 12 meses x percentual estatístico* x percentual de empregados do sexo masculino** ;    Fórmula: (MÓDULO 1 + 2 + 3) x 0,02%</t>
  </si>
  <si>
    <t xml:space="preserve">*Expectativa anual de nascimento de filhos dos trabalhadores (IBGE – Manual de Preenchimento da Planilha de Custos): </t>
  </si>
  <si>
    <t>**Percentual de Homens: Limpeza 51,67%</t>
  </si>
  <si>
    <t>D - Subst.  cobertura de Ausências por acidente de trabalho</t>
  </si>
  <si>
    <t>Lei  8.213/91 obriga o empregador a assumir o ônus financeiro pelo prazo de 15 dias, no caso de acidente de trabalho previsto no art. 131 da CLT. Fórmula do Percentual: 0,9659 * dias / 30 dias do mês / 12 meses = 0,2681% ; Fórmula: (MÓDULO 1 + 2 + 3) x 0,2681%</t>
  </si>
  <si>
    <t>* Média de faltas anuais por acidente de trabalho( dias)</t>
  </si>
  <si>
    <t>4.3 - Afastamento Maternidade</t>
  </si>
  <si>
    <t>A - Afastamento Maternidade</t>
  </si>
  <si>
    <t>Fórmula do Percentual: (Dias licença: 120 / Dias no mês: 30 ) x Percentual de Mulheres* x Expectativa mensal de Afastamento Maternidade**;  Fórmula: (13° Salário + Férias + Adicional Férias + Submódulo 2.2 + Benefícios Mensais excluídos vale transporte e vale refeição) x Percentual Encontrado</t>
  </si>
  <si>
    <t xml:space="preserve">*Percentual de Mulheres Limpeza </t>
  </si>
  <si>
    <t>**Expectativa mensal Afastamento Maternidade (Censo IBGE)</t>
  </si>
  <si>
    <t>Módulo 6</t>
  </si>
  <si>
    <t>A - Custos Indiretos</t>
  </si>
  <si>
    <t>B - Lucro</t>
  </si>
  <si>
    <t>Vale Transporte e ISS</t>
  </si>
  <si>
    <t>Unidade Orgânica GEX Florianópolis</t>
  </si>
  <si>
    <t>ISS</t>
  </si>
  <si>
    <t>VT</t>
  </si>
  <si>
    <t>Serventes</t>
  </si>
  <si>
    <t>*Serventes Optantes</t>
  </si>
  <si>
    <t>VT*Servente</t>
  </si>
  <si>
    <t>Unidade Orgânica GEX Criciúma</t>
  </si>
  <si>
    <t>GERÊNCIA EXECUTIVA CHAPECÓ</t>
  </si>
  <si>
    <t>GERÊNCIA EXECUTIVA e APS CRICIÚMA</t>
  </si>
  <si>
    <t>APS CAÇADOR</t>
  </si>
  <si>
    <t>CEDOC Prev</t>
  </si>
  <si>
    <t>APS CHAPECÓ</t>
  </si>
  <si>
    <t>APS ARARANGUÁ</t>
  </si>
  <si>
    <t>APS CONCÓRDIA</t>
  </si>
  <si>
    <t>APS BRAÇO DO NORTE</t>
  </si>
  <si>
    <t>APS JOAÇABA</t>
  </si>
  <si>
    <t>APS LAGUNA</t>
  </si>
  <si>
    <t>APS MARAVILHA/SC</t>
  </si>
  <si>
    <t>APS ORLEANS</t>
  </si>
  <si>
    <t>APS SÃO LOURENÇO DO OESTE</t>
  </si>
  <si>
    <t>APS TUBARÃO</t>
  </si>
  <si>
    <t>APS SÃO MIGUEL D OESTE</t>
  </si>
  <si>
    <t>APS URUSSANGA</t>
  </si>
  <si>
    <t>APS VIDEIRA</t>
  </si>
  <si>
    <t>APS IÇARA</t>
  </si>
  <si>
    <t>APS XANXERÊ</t>
  </si>
  <si>
    <t>APS LAURO MÜLLER</t>
  </si>
  <si>
    <t>APS CAMPOS NOVOS</t>
  </si>
  <si>
    <t>APS SOMBRIO</t>
  </si>
  <si>
    <t>APS CAPINZAL</t>
  </si>
  <si>
    <t>APS FORQUILHINHA</t>
  </si>
  <si>
    <t>APS FRAIBURGO</t>
  </si>
  <si>
    <t>APS CAPIVARI DE BAIXO</t>
  </si>
  <si>
    <t>APS PINHALZINHO/SC</t>
  </si>
  <si>
    <t>Média Simples VT</t>
  </si>
  <si>
    <t>APS PORTO UNIÃO</t>
  </si>
  <si>
    <t>Média Ponderada VT</t>
  </si>
  <si>
    <t>APS XAXIM</t>
  </si>
  <si>
    <t>APS DIONÍSIO CERQUEIRA</t>
  </si>
  <si>
    <t>* Serventes Optantes: No decorrer do contrato o quantitativo será ajustado conforme opção do terceirizado</t>
  </si>
  <si>
    <t>MATERIAIS</t>
  </si>
  <si>
    <t>Formalização da pesquisa de preços</t>
  </si>
  <si>
    <t>DISCRIMINAÇÃO</t>
  </si>
  <si>
    <t>UNIDADE</t>
  </si>
  <si>
    <t>QUANTIDADE DEFINIDA POR SERVENTE</t>
  </si>
  <si>
    <t>CUSTO MÉDIO (R$)</t>
  </si>
  <si>
    <t>CUSTO MENSAL MATERIAIS POR SERVENTE (R$)</t>
  </si>
  <si>
    <t>USO(*)</t>
  </si>
  <si>
    <t>Art. 3º A pesquisa de preços será materializada em documento que conterá, no mínimo:</t>
  </si>
  <si>
    <t>Ácido Muriático</t>
  </si>
  <si>
    <t>litro</t>
  </si>
  <si>
    <t>VII</t>
  </si>
  <si>
    <t>I - identificação do agente responsável pela cotação;</t>
  </si>
  <si>
    <t>Agua Sanitária</t>
  </si>
  <si>
    <t>II,III</t>
  </si>
  <si>
    <t>II - caracterização das fontes consultadas;</t>
  </si>
  <si>
    <t>Álcool Gel 70%</t>
  </si>
  <si>
    <t>500 ml</t>
  </si>
  <si>
    <t>IX</t>
  </si>
  <si>
    <t>III - série de preços coletados;</t>
  </si>
  <si>
    <t>Álcool Liquido 70%</t>
  </si>
  <si>
    <t>V - justificativas para a metodologia utilizada, em especial para a desconsideração de valores inexequíveis, inconsistentes e excessivamente elevados, se aplicável.</t>
  </si>
  <si>
    <t>Cera Líquida</t>
  </si>
  <si>
    <t>5 litros</t>
  </si>
  <si>
    <t>I, X</t>
  </si>
  <si>
    <t>Desinfetante de uso geral/banheiro</t>
  </si>
  <si>
    <t>II, X</t>
  </si>
  <si>
    <t>Desincrustante limpeza pesada piso</t>
  </si>
  <si>
    <t>I, II, VII</t>
  </si>
  <si>
    <t>Detergente liquido neutro</t>
  </si>
  <si>
    <t>X</t>
  </si>
  <si>
    <t>Detergente para Louça</t>
  </si>
  <si>
    <t>II</t>
  </si>
  <si>
    <t>Estopa 500g</t>
  </si>
  <si>
    <t>Unidade</t>
  </si>
  <si>
    <t>I, II, X</t>
  </si>
  <si>
    <t>Fibra de limpeza pesada, 230mmx150mm</t>
  </si>
  <si>
    <t>I</t>
  </si>
  <si>
    <t>Esponja dupla face, 110mmx75mmx20mm</t>
  </si>
  <si>
    <t>Flanela de algodão 40cm x 60cm</t>
  </si>
  <si>
    <t>II,, III, XI,X</t>
  </si>
  <si>
    <t>Inseticida aerosol 300ml</t>
  </si>
  <si>
    <t>I, II,X</t>
  </si>
  <si>
    <t>Lã de aço fina uso doméstico</t>
  </si>
  <si>
    <t>PC  8UN</t>
  </si>
  <si>
    <t>Limpa-metais (polidor)</t>
  </si>
  <si>
    <t>VI</t>
  </si>
  <si>
    <t>Limpa Vidro líquido</t>
  </si>
  <si>
    <t>500ml</t>
  </si>
  <si>
    <t>IV</t>
  </si>
  <si>
    <t>Limpador Multiuso (Veja ou similar)</t>
  </si>
  <si>
    <t>Lustra Móveis líquido</t>
  </si>
  <si>
    <t>100 ml</t>
  </si>
  <si>
    <t>Luva borracha para limpeza (tamanho p/m/g)</t>
  </si>
  <si>
    <t>Par</t>
  </si>
  <si>
    <t>Odorizador de ambiente spray 360ml</t>
  </si>
  <si>
    <t>Pano para limpeza algodão alvejado 70 x 45 cm ( 120g)</t>
  </si>
  <si>
    <t>Papel higiênico 1ª qual,  branca, fl. dupla 30m x 10cm ( farto 64un)</t>
  </si>
  <si>
    <t>Fardo 64un</t>
  </si>
  <si>
    <t>Papel Higiênico Rolão com 300 metros x 10 cm (BRANCO, MACIO)</t>
  </si>
  <si>
    <t>Rolão ( fardo 8un)</t>
  </si>
  <si>
    <t>Papel Toalha interfolhada, cor branca, 21cmx22cm PC com 1000 fls</t>
  </si>
  <si>
    <t>Pacote</t>
  </si>
  <si>
    <t>Pastilha Sanitária com suporte</t>
  </si>
  <si>
    <t>pacote 25g</t>
  </si>
  <si>
    <t>Sabão em líquido neutro litros</t>
  </si>
  <si>
    <t>Sabão em Barra neutro 200g</t>
  </si>
  <si>
    <t>Sabão em pó</t>
  </si>
  <si>
    <t>Kg</t>
  </si>
  <si>
    <t>Sabonete Líquido neutro, 1ª qualidade</t>
  </si>
  <si>
    <t>Sapólio cremoso 300ml</t>
  </si>
  <si>
    <t>II,X</t>
  </si>
  <si>
    <t>Saco para Lixo reforçado 40L</t>
  </si>
  <si>
    <t>pcte 100 un</t>
  </si>
  <si>
    <t>I,II,V</t>
  </si>
  <si>
    <t>Saco para Lixo reforçado 60L</t>
  </si>
  <si>
    <t>Saco para Lixo reforçado 100L</t>
  </si>
  <si>
    <t>UTENSÍLIOS</t>
  </si>
  <si>
    <t>QUANTIDADE DEFINIDA POR SERVENTE (ANUAL)</t>
  </si>
  <si>
    <t>CUSTO MENSAL UTENSÍLIOS POR SERVENTE</t>
  </si>
  <si>
    <t>Balde de Plástico 10L a 20L</t>
  </si>
  <si>
    <t>Desentupidor de Pia</t>
  </si>
  <si>
    <t>Desentupidor de Vaso Sanitário</t>
  </si>
  <si>
    <t>Disco Para Enceradeira</t>
  </si>
  <si>
    <t>Escova sanitária com suporte</t>
  </si>
  <si>
    <t>Escova para Enceradeira</t>
  </si>
  <si>
    <t>Escova de Nylon para tangue</t>
  </si>
  <si>
    <t>Espanador de pó, penas, cabo 40 a 60 cm</t>
  </si>
  <si>
    <t>Mop Seco</t>
  </si>
  <si>
    <t>Mop Úmido</t>
  </si>
  <si>
    <t>Mop Úmido Refil</t>
  </si>
  <si>
    <t>Pá plastido p/ coleta de lixo,  cabo longo 80 cm</t>
  </si>
  <si>
    <t>Rodo espuma com cabo comprido, 40 a 60 cm</t>
  </si>
  <si>
    <t>Rodo borracha dupla, cabo comprido, 40 a 60 cm</t>
  </si>
  <si>
    <t>Saco descartável para aspirador de pó</t>
  </si>
  <si>
    <t>PACOTE COM 3UN</t>
  </si>
  <si>
    <t>Suporte limpa tudo, c/ rosca, articulado,  cabo</t>
  </si>
  <si>
    <t>I,II,V,X</t>
  </si>
  <si>
    <t>Vassoura de Gari</t>
  </si>
  <si>
    <t>I,X</t>
  </si>
  <si>
    <t>Vassoura de Nylon</t>
  </si>
  <si>
    <t>I,IIV,VII,X</t>
  </si>
  <si>
    <t>Vassoura de palha</t>
  </si>
  <si>
    <t>CUSTO UTENSÍLIO MENSAL POR SERVENTE</t>
  </si>
  <si>
    <t>CUSTO TOTAL DE MATERIAIS + UTENSÍLIOS POR SERVENTE</t>
  </si>
  <si>
    <t>MATERIAIS/UTENSÍLIOS PARA ÁREA SANITIZAÇÃO</t>
  </si>
  <si>
    <t>QUANTIDADE DEFINIDA POR SERVENTE (MENSAL)</t>
  </si>
  <si>
    <t>CUSTO MENSAL MATERIAIS (R$)</t>
  </si>
  <si>
    <t>Álcool isopropílico</t>
  </si>
  <si>
    <t>III</t>
  </si>
  <si>
    <t>XI</t>
  </si>
  <si>
    <t>Saco para Lixo Leitoso reforçado 100L</t>
  </si>
  <si>
    <t>V</t>
  </si>
  <si>
    <t>QUANTIDADE DEFINIDA (anual)</t>
  </si>
  <si>
    <t xml:space="preserve">CUSTO MENSAL MATERIAIS (R$) </t>
  </si>
  <si>
    <t>Borrifador 350ml de Álcool de 350ml a 500 ml</t>
  </si>
  <si>
    <t>VALOR POR servente COVID</t>
  </si>
  <si>
    <t>As áreas destinadas ao consumo dos produtos solicitados estão assim distribuídas:</t>
  </si>
  <si>
    <t>I. Para uso em áreas de circulação</t>
  </si>
  <si>
    <t>II. Para uso em banheiros e cozinha</t>
  </si>
  <si>
    <t>III. Para uso nos protetores de acrílicos</t>
  </si>
  <si>
    <t>IV. Para uso em áreas envidraçadas e tampos de mesa</t>
  </si>
  <si>
    <t>V. Para uso nas salas</t>
  </si>
  <si>
    <t>VI. Para brilho em superfícies de Inox</t>
  </si>
  <si>
    <t>VII. Para limpeza de pisos e paredes de pedra</t>
  </si>
  <si>
    <t>VIII. Para limpeza dos microcomputadores</t>
  </si>
  <si>
    <t>XI. Higienização e desinfecção das mãos e superfícies de mobiliários e equipamentos,</t>
  </si>
  <si>
    <t>X. Diversos</t>
  </si>
  <si>
    <t>EQUIPAMENTOS</t>
  </si>
  <si>
    <t>QUANTIDADE DEFINIDA (1 por Unidade) GEXCHA</t>
  </si>
  <si>
    <t>QUANTIDADE DEFINIDA (1 por Unidade) GEXCRI</t>
  </si>
  <si>
    <t>CUSTO MENSAL EQUIPAMENTOS (R$) - GEXCHA</t>
  </si>
  <si>
    <t>CUSTO MENSAL EQUIPAMENTOS (R$) - GEXCRI</t>
  </si>
  <si>
    <t>Aspirador de Pó</t>
  </si>
  <si>
    <t>Cabo Extensor para Limpeza (5 metros)</t>
  </si>
  <si>
    <t>Carro funcional c/ bolsa, metal/plástico, 3 prat.</t>
  </si>
  <si>
    <t>Enceradeira industrial DC 350 ( 60 meses)</t>
  </si>
  <si>
    <t>Escada domés.  Alum. Degraus 4 a 6, Antiderrap</t>
  </si>
  <si>
    <t>Extensão elétrica de 15mt</t>
  </si>
  <si>
    <t xml:space="preserve">Lavadora de alta pressão mínimo 1.500 LB  </t>
  </si>
  <si>
    <t>Mangueira de jardim 20m, c/ esguicho/engate</t>
  </si>
  <si>
    <t>Placa sinalizadora (Piso Molhado)</t>
  </si>
  <si>
    <t>Rastelo de Jardim ( APS com areas verdes)</t>
  </si>
  <si>
    <t>Relógio de Ponto Eletrônico</t>
  </si>
  <si>
    <t>TOTAL GERAL ( 60 MESES)</t>
  </si>
  <si>
    <t>TOTAL ANUAL DE EQUIPAMENTOS  - Depreciação Anual conforme tabela da RFB -</t>
  </si>
  <si>
    <t>VALOR MENSAL POR SERVENTE</t>
  </si>
  <si>
    <t>UNIFORMES ( CCT Cl.40ª)</t>
  </si>
  <si>
    <t xml:space="preserve">QUANTIDADE DEFINIDA (anual) </t>
  </si>
  <si>
    <t>CUSTO MÉDIO</t>
  </si>
  <si>
    <t>CUSTO MENSAL UNIFORMES</t>
  </si>
  <si>
    <t>Bata ( avental) pano</t>
  </si>
  <si>
    <t>Bota de borracha</t>
  </si>
  <si>
    <t>Calça</t>
  </si>
  <si>
    <t>Camiseta</t>
  </si>
  <si>
    <t>Crachá, protetor, jacaré, cordão e regulador</t>
  </si>
  <si>
    <t>Sapato segurança</t>
  </si>
  <si>
    <t>TOTAL GERAL MENSAL POR SERVENTE</t>
  </si>
  <si>
    <t>EPIs</t>
  </si>
  <si>
    <t>QUANTIDADE DEFINIDA MENSAL (Serventes 20 ou 30h)</t>
  </si>
  <si>
    <t>QUANTIDADE DEFINIDA MENSAL (Serventes 40 ou 44h)</t>
  </si>
  <si>
    <t>CUSTO MENSAL DE EPIS (Servente 20 ou 30h)</t>
  </si>
  <si>
    <t>CUSTO MENSAL DE EPIS (Servente 40 ou 44h)</t>
  </si>
  <si>
    <t>ÁREA SANITIZAÇÃO</t>
  </si>
  <si>
    <t>Avental descartável</t>
  </si>
  <si>
    <t>Face Shield</t>
  </si>
  <si>
    <t>Luvas descartáveis (100un) (50 pares)</t>
  </si>
  <si>
    <t>Máscara descartável</t>
  </si>
  <si>
    <t>Touca descartável</t>
  </si>
  <si>
    <t>QUANTIDADE DEFINIDA ANUAL  (Serventes 20 ou 30h)</t>
  </si>
  <si>
    <t>QUANTIDADE DEFINIDA ANUAL  (Serventes 40 ou 44h)</t>
  </si>
  <si>
    <t>EPIs USO GERAL</t>
  </si>
  <si>
    <t>Avental impermeável de pvc</t>
  </si>
  <si>
    <t>Luva proteção de raspa de couro, cano curto</t>
  </si>
  <si>
    <t>Óculos de proteção lente transparente</t>
  </si>
  <si>
    <t>Obs:  Periodicidade/frequencia de trocas dos EPIs de acorda com as premissas adotadas na contratação de média de dias úteis no mês = 22 dias</t>
  </si>
  <si>
    <t>1x ao dia</t>
  </si>
  <si>
    <t>1x a cada 6 meses -  Deverá ser descartado quando danificado</t>
  </si>
  <si>
    <t>3 pares ao dia ou quando danificado</t>
  </si>
  <si>
    <t>1x a cada 3h</t>
  </si>
  <si>
    <t>Borrifador 500ML</t>
  </si>
  <si>
    <t>2un/servente/a cada 3 meses ( 1 para álcool 70% e 1 para álcool isopropílico)</t>
  </si>
  <si>
    <t>Flanela de algodão branca 40cm x 60cm</t>
  </si>
  <si>
    <t>4 un para cada servente/mês</t>
  </si>
  <si>
    <t>saco de Lixo reforçado,  100 L , cor branco leitoso</t>
  </si>
  <si>
    <t>2 un/dia por lixeira x 4 salas de perícia/serviço social e reabilitação x 22 dias uteis mês</t>
  </si>
  <si>
    <t>GEX CHAPECÓ E GEX CRICIÚMA</t>
  </si>
  <si>
    <t>ÁREA INTERNA</t>
  </si>
  <si>
    <t>ÁREA EXTERNA</t>
  </si>
  <si>
    <t>ESQUADRIAS</t>
  </si>
  <si>
    <t>ITEM 1</t>
  </si>
  <si>
    <t>ITEM 2</t>
  </si>
  <si>
    <t>ITEM 3</t>
  </si>
  <si>
    <t>ITEM 4</t>
  </si>
  <si>
    <t>ITEM 5</t>
  </si>
  <si>
    <t>Seq.</t>
  </si>
  <si>
    <t>Unidade Orgânica</t>
  </si>
  <si>
    <t>ISS %</t>
  </si>
  <si>
    <r>
      <rPr>
        <b/>
        <sz val="9"/>
        <color rgb="FF000000"/>
        <rFont val="Calibri"/>
        <family val="2"/>
        <charset val="1"/>
      </rPr>
      <t>AI-1:</t>
    </r>
    <r>
      <rPr>
        <sz val="9"/>
        <color rgb="FF000000"/>
        <rFont val="Calibri"/>
        <family val="2"/>
        <charset val="1"/>
      </rPr>
      <t xml:space="preserve"> 
Pisos frios</t>
    </r>
  </si>
  <si>
    <r>
      <rPr>
        <b/>
        <sz val="9"/>
        <color rgb="FF000000"/>
        <rFont val="Calibri"/>
        <family val="2"/>
        <charset val="1"/>
      </rPr>
      <t>AI-2:</t>
    </r>
    <r>
      <rPr>
        <sz val="9"/>
        <color rgb="FF000000"/>
        <rFont val="Calibri"/>
        <family val="2"/>
        <charset val="1"/>
      </rPr>
      <t xml:space="preserve"> 
Almoxarifado, Galpões, arquivos</t>
    </r>
  </si>
  <si>
    <r>
      <rPr>
        <b/>
        <sz val="9"/>
        <color rgb="FF000000"/>
        <rFont val="Calibri"/>
        <family val="2"/>
        <charset val="1"/>
      </rPr>
      <t>AI-3:</t>
    </r>
    <r>
      <rPr>
        <sz val="9"/>
        <color rgb="FF000000"/>
        <rFont val="Calibri"/>
        <family val="2"/>
        <charset val="1"/>
      </rPr>
      <t xml:space="preserve"> 
Espaços Livres, saguão, hall, salão</t>
    </r>
  </si>
  <si>
    <r>
      <rPr>
        <b/>
        <sz val="9"/>
        <color rgb="FF000000"/>
        <rFont val="Calibri"/>
        <family val="2"/>
        <charset val="1"/>
      </rPr>
      <t>AI-4:</t>
    </r>
    <r>
      <rPr>
        <sz val="9"/>
        <color rgb="FF000000"/>
        <rFont val="Calibri"/>
        <family val="2"/>
        <charset val="1"/>
      </rPr>
      <t xml:space="preserve"> 
Banheiros</t>
    </r>
  </si>
  <si>
    <r>
      <rPr>
        <b/>
        <sz val="9"/>
        <color rgb="FF000000"/>
        <rFont val="Calibri"/>
        <family val="2"/>
        <charset val="1"/>
      </rPr>
      <t>AE-1:</t>
    </r>
    <r>
      <rPr>
        <sz val="9"/>
        <color rgb="FF000000"/>
        <rFont val="Calibri"/>
        <family val="2"/>
        <charset val="1"/>
      </rPr>
      <t xml:space="preserve"> 
Pisos adjacentes às edificações</t>
    </r>
  </si>
  <si>
    <t>AE-2: 
 coleta de detritos em pátios e áreas verdes com frequência diária</t>
  </si>
  <si>
    <r>
      <rPr>
        <b/>
        <sz val="9"/>
        <color rgb="FF000000"/>
        <rFont val="Calibri"/>
        <family val="2"/>
        <charset val="1"/>
      </rPr>
      <t xml:space="preserve">AE-3:
</t>
    </r>
    <r>
      <rPr>
        <sz val="9"/>
        <color rgb="FF000000"/>
        <rFont val="Calibri"/>
        <family val="2"/>
        <charset val="1"/>
      </rPr>
      <t>Arruamento, passeios</t>
    </r>
  </si>
  <si>
    <r>
      <rPr>
        <b/>
        <sz val="10"/>
        <color rgb="FF000000"/>
        <rFont val="Calibri"/>
        <family val="2"/>
        <charset val="1"/>
      </rPr>
      <t>EER:</t>
    </r>
    <r>
      <rPr>
        <sz val="10"/>
        <color rgb="FF000000"/>
        <rFont val="Calibri"/>
        <family val="2"/>
        <charset val="1"/>
      </rPr>
      <t xml:space="preserve"> 
Face Externa </t>
    </r>
    <r>
      <rPr>
        <b/>
        <sz val="10"/>
        <color rgb="FF000000"/>
        <rFont val="Arial"/>
        <family val="2"/>
        <charset val="1"/>
      </rPr>
      <t>COM</t>
    </r>
    <r>
      <rPr>
        <sz val="10"/>
        <color rgb="FF000000"/>
        <rFont val="Arial"/>
        <family val="2"/>
        <charset val="1"/>
      </rPr>
      <t xml:space="preserve"> exposição a risco </t>
    </r>
  </si>
  <si>
    <r>
      <rPr>
        <b/>
        <sz val="10"/>
        <color rgb="FF000000"/>
        <rFont val="Calibri"/>
        <family val="2"/>
        <charset val="1"/>
      </rPr>
      <t>EE:</t>
    </r>
    <r>
      <rPr>
        <sz val="10"/>
        <color rgb="FF000000"/>
        <rFont val="Calibri"/>
        <family val="2"/>
        <charset val="1"/>
      </rPr>
      <t xml:space="preserve"> 
Face Externa </t>
    </r>
    <r>
      <rPr>
        <b/>
        <sz val="10"/>
        <color rgb="FF000000"/>
        <rFont val="Arial"/>
        <family val="2"/>
        <charset val="1"/>
      </rPr>
      <t>SEM</t>
    </r>
    <r>
      <rPr>
        <sz val="10"/>
        <color rgb="FF000000"/>
        <rFont val="Arial"/>
        <family val="2"/>
        <charset val="1"/>
      </rPr>
      <t xml:space="preserve"> exposição a risco</t>
    </r>
  </si>
  <si>
    <r>
      <rPr>
        <b/>
        <sz val="9"/>
        <color rgb="FF000000"/>
        <rFont val="Calibri"/>
        <family val="2"/>
        <charset val="1"/>
      </rPr>
      <t>EI:</t>
    </r>
    <r>
      <rPr>
        <sz val="9"/>
        <color rgb="FF000000"/>
        <rFont val="Calibri"/>
        <family val="2"/>
        <charset val="1"/>
      </rPr>
      <t xml:space="preserve"> 
Face Interna</t>
    </r>
  </si>
  <si>
    <t>Valor mensal                                   Limpeza odinária</t>
  </si>
  <si>
    <t>Valor mensal                                   Servente Covid</t>
  </si>
  <si>
    <t>Valor limite mensal - Horas eventuais Limp Ordinária</t>
  </si>
  <si>
    <t>Valor limite mensal - horas eventuais COVID</t>
  </si>
  <si>
    <t>Valor mensal item IV                       Diárias carregadores</t>
  </si>
  <si>
    <t>Área</t>
  </si>
  <si>
    <t>Preço m²</t>
  </si>
  <si>
    <t>R$</t>
  </si>
  <si>
    <t>Rua Condá, 600-D, Bairro Santa Maria, Cep 89812-200 – Chapecó/SC</t>
  </si>
  <si>
    <t>Rua Campos Novos, 211, Centro Cep 89500-000 – Caçador/SC</t>
  </si>
  <si>
    <t>Rua Rui Barbosa, 42-D, Centro, Cep 89801-040 – Chapecó/SC</t>
  </si>
  <si>
    <t>Rua Independência, 221, Centro, Cep 89700-000 – Concórdia/SC</t>
  </si>
  <si>
    <t>Rua Felipe Schimidt, 12, Centro - Cep 89600-000 - Joaçaba/SC</t>
  </si>
  <si>
    <t>APS MARAVILHA</t>
  </si>
  <si>
    <t>Rua Euclides Da Cunha, 11, Centro - Cep 89874-000 - Maravilha/SC</t>
  </si>
  <si>
    <t>Rua Gilio Rezzieri, 650, Centro - Cep 89990-000 – São Lourenço do Oeste/SC</t>
  </si>
  <si>
    <t>Rua 15 De Novembro, 1460, Centro - Cep 89900-000 – São Miguel do Oeste/SC</t>
  </si>
  <si>
    <t>Rua Saul Brandalize, 201, Centro - Cep 89560-000 - Videira/SC</t>
  </si>
  <si>
    <t>Rua Marechal Bormann, 360, Centro - Cep 89820-000 - Xanxerê/SC</t>
  </si>
  <si>
    <t>Rua São João Batista, 613, Centro - Cep 89620-000 – Campos Novos/SC</t>
  </si>
  <si>
    <t>Rua Ernesto Hachmann, 435 – Centro - Cep 89665-000 – Capinzal/SC</t>
  </si>
  <si>
    <t>Rua Olavo Bilac, 196, Bairro São José ,  Cep: 89580-000-Fraiburgo/SC</t>
  </si>
  <si>
    <t>APS PINHALZINHO</t>
  </si>
  <si>
    <t>Travessa Chapecó, 100, Centro - Cep 89870-000 - Pinhalzinho/SC</t>
  </si>
  <si>
    <t>Rua Quintino Bocaiuva, 423, Centro - Cep 89400-000 – Porto União/SC</t>
  </si>
  <si>
    <t>Av. Júlio Lunardi, 1725, Bairro Guarany, Cep: 89.825-000 -Xaxin/SC</t>
  </si>
  <si>
    <t>Avenida Adelino Mangini, 313, Bairro: Centro, Cep: 89950000 – Dionísio Cerqueira/SC</t>
  </si>
  <si>
    <t>Total Mensal GEX Chapecó</t>
  </si>
  <si>
    <t>RUA SAO JOSÉ, 170 – CEP: 88.801-520 - CENTRO – CRICIÚMA/SC</t>
  </si>
  <si>
    <t>RODOVIA LEONARDO BIALECK, 995 – CEP: 88.812-860 -  LINHA BATISTA – CRICIÚMA/SC</t>
  </si>
  <si>
    <t>RUA CAETANO LUMMERTZ, 722 – CEP: 88.900-043 - CENTRO – ARARANGUÁ/SC</t>
  </si>
  <si>
    <t>AV. FELIPE SCHIMIDT, 1001 – CEP: 88.750-000 - CENTRO – BRAÇO DO NORTE/SC</t>
  </si>
  <si>
    <t>RUA RAULINO HORN, 140 – CEP: 88.790-000 - CENTRO -  LAGUNA/SC</t>
  </si>
  <si>
    <t>RUA ALEXANDRE SANDRINI, 64 – CEP: 88.870-000 -  CENTRO – ORLEANS/SC</t>
  </si>
  <si>
    <t>RUA SAO MANOEL, 40 – CEP: 88.701-120 -  CENTRO – TUBARÃO/SC</t>
  </si>
  <si>
    <t>RUA BARAO DO RIO BRANCO, 88 – CEP: 88.840-000 - CENTRO URUSSANGA/SC</t>
  </si>
  <si>
    <t>TRV. PADRE BOLESLAU, 400 – ED. DEBORA – CEP: 88.820-000 - CENTRO – IÇARA/SC</t>
  </si>
  <si>
    <t>RUA HENRIQUE LAGE, S/N, CENTRO, CEP: 88.880-000, LAURO MULLER/SC</t>
  </si>
  <si>
    <t>RUA GENERINO TEIXEIRA DA ROSA, 283 – CEP: 88.750-000 - CENTRO – SOMBRIO/SC</t>
  </si>
  <si>
    <t>AVENIDA PROFESSOR EURICO BACK, S/N – CEP: 88.850-000 - CENTRO – FORQUILHINHA/SC</t>
  </si>
  <si>
    <t>RUA ERNANI COTRIN, 335 – CEP: 88.745-000 -  CENTRO – CAPIVARI DE BAIXO/SC</t>
  </si>
  <si>
    <t>Total Mensal GEX Criciúma</t>
  </si>
  <si>
    <t>TOTAL GERAL</t>
  </si>
  <si>
    <r>
      <rPr>
        <b/>
        <sz val="9"/>
        <color rgb="FF000000"/>
        <rFont val="Calibri"/>
        <family val="2"/>
        <charset val="1"/>
      </rPr>
      <t>AE-2:</t>
    </r>
    <r>
      <rPr>
        <sz val="9"/>
        <color rgb="FF000000"/>
        <rFont val="Calibri"/>
        <family val="2"/>
        <charset val="1"/>
      </rPr>
      <t xml:space="preserve"> 
Áreas verdes</t>
    </r>
  </si>
  <si>
    <t>Serventes por Unidade (Calculada)</t>
  </si>
  <si>
    <t>Qtde de serventes ajustada LIMPEZA ORDINÁRIA                      e carga horária</t>
  </si>
  <si>
    <t>Qtde Ajustada Qtde postos COVID e Carga horária servente</t>
  </si>
  <si>
    <t>Qtde horas eventuais Limpeza Ordinária/Mês</t>
  </si>
  <si>
    <t xml:space="preserve"> Qtde horas eventuais COVID/Mês</t>
  </si>
  <si>
    <t>Qtde Diárias carregadores/Mês</t>
  </si>
  <si>
    <t>30h</t>
  </si>
  <si>
    <t>44h</t>
  </si>
  <si>
    <t>h</t>
  </si>
  <si>
    <t>diarias</t>
  </si>
  <si>
    <t xml:space="preserve">                               -</t>
  </si>
  <si>
    <t>Total Geral</t>
  </si>
  <si>
    <t>Produtividade adotada</t>
  </si>
  <si>
    <t>total</t>
  </si>
  <si>
    <t>Número de Serventes</t>
  </si>
  <si>
    <t>fração</t>
  </si>
  <si>
    <t>(1/prod) serventes</t>
  </si>
  <si>
    <t>(1/prod) encarregado</t>
  </si>
  <si>
    <t>Limite de Produtividade IN 05/2017</t>
  </si>
  <si>
    <t>800 a 1200</t>
  </si>
  <si>
    <t>1500 a 2500</t>
  </si>
  <si>
    <t>1000 a 1500</t>
  </si>
  <si>
    <t>200 a 300</t>
  </si>
  <si>
    <t>1800 a 2700</t>
  </si>
  <si>
    <t>6000 a 9000</t>
  </si>
  <si>
    <t>130 a 160</t>
  </si>
  <si>
    <t>300 a 380</t>
  </si>
  <si>
    <t>SEMESTRAL</t>
  </si>
  <si>
    <t>Número de Encarregados</t>
  </si>
  <si>
    <t> </t>
  </si>
  <si>
    <t>=H68/</t>
  </si>
  <si>
    <t>ANEXO IV</t>
  </si>
  <si>
    <t>MODELO DE PROPOSTA E PLANILHA DE CUSTOS E FORMAÇÃO DE PREÇOS</t>
  </si>
  <si>
    <t>Servente 44h</t>
  </si>
  <si>
    <t>Servente 30h</t>
  </si>
  <si>
    <t>Servente 44h limpeza de esquadrias com risco</t>
  </si>
  <si>
    <t>Encarregado de esquadrias com risco</t>
  </si>
  <si>
    <t>Salário Normativo da Categoria:</t>
  </si>
  <si>
    <t>Data base da Categoria:</t>
  </si>
  <si>
    <t>Convenção Coletiva:</t>
  </si>
  <si>
    <t>CBO/MTE:</t>
  </si>
  <si>
    <t>CUSTOS</t>
  </si>
  <si>
    <t>Percentuais e Valores de Referência</t>
  </si>
  <si>
    <t xml:space="preserve">Servente 44h </t>
  </si>
  <si>
    <t>Encarregado limpeza de esquadrias com risco</t>
  </si>
  <si>
    <t>MÓDULO 1: COMPOSIÇÃO DA REMUNERAÇÃO</t>
  </si>
  <si>
    <t>1 - Composição da Remuneração</t>
  </si>
  <si>
    <t>Percentuais</t>
  </si>
  <si>
    <t>Valor (R$)</t>
  </si>
  <si>
    <t>A – Salário Base 44 horas</t>
  </si>
  <si>
    <t>B - Adicional de Insalubridade</t>
  </si>
  <si>
    <t>D - Adicional Noturno</t>
  </si>
  <si>
    <t>E - Adicional de Hora Noturna Reduzida</t>
  </si>
  <si>
    <t>F - Adicional de Hora Extra no Feriado Trabalhado</t>
  </si>
  <si>
    <t>E - Outros -Adicional de Periculosidade</t>
  </si>
  <si>
    <t>Total</t>
  </si>
  <si>
    <t>MÓDULO 2: ENCARGOS E BENEFÍCIOS ANUAIS, MENSAIS E DIÁRIOS</t>
  </si>
  <si>
    <t>2.1 - 13º Salário, Férias e Adicional de Férias</t>
  </si>
  <si>
    <t>A - 13º salário</t>
  </si>
  <si>
    <t>B - Adicional de Férias</t>
  </si>
  <si>
    <t>2.2 - Encargos Previdenciários e FGTS</t>
  </si>
  <si>
    <t>2.2.1 - GPS</t>
  </si>
  <si>
    <t>A - INSS</t>
  </si>
  <si>
    <t>B - Salário Educação</t>
  </si>
  <si>
    <t>C - SAT</t>
  </si>
  <si>
    <t>D - SESI ou SESC</t>
  </si>
  <si>
    <t>E - SENAI ou SENAC</t>
  </si>
  <si>
    <t>F - SEBRAE</t>
  </si>
  <si>
    <t>G - INCRA</t>
  </si>
  <si>
    <t>F - FGTS</t>
  </si>
  <si>
    <t>2.3 - Benefícios Mensais e Diários</t>
  </si>
  <si>
    <t>Valores</t>
  </si>
  <si>
    <t>A - Transporte</t>
  </si>
  <si>
    <t>B - Auxílio-Refeição/Alimentação ( COM DESCONTO DE 20%)</t>
  </si>
  <si>
    <t>C - Ajuda de custo (equipes limpeza vidros)</t>
  </si>
  <si>
    <t>D - Assistência ao Trabalhador (Cláusula 16º)</t>
  </si>
  <si>
    <t>E - Prêmio Assiduidade (Cláusula 11º)</t>
  </si>
  <si>
    <t>F - Outros (especificar)</t>
  </si>
  <si>
    <t>2 - ENCARGOS E BENEFÍCIOS ANUAIS, MENSAIS E DIÁRIOS</t>
  </si>
  <si>
    <t>2.2 - GPS, FGTS e outras contribuições</t>
  </si>
  <si>
    <t>MÓDULO 3: PROVISÃO PARA RESCISÃO</t>
  </si>
  <si>
    <t>3 - Provisão para Rescisão</t>
  </si>
  <si>
    <t>3.1 - Aviso Prévio Indenizado</t>
  </si>
  <si>
    <t>A - Aviso Prévio Indenizado</t>
  </si>
  <si>
    <t>B - Incidência do FGTS sobre Aviso Prévio Indenizado</t>
  </si>
  <si>
    <t>C - Multa do FGTS sobre Aviso Prévio Indenizado</t>
  </si>
  <si>
    <t>A - Aviso Prévio Trabalhado</t>
  </si>
  <si>
    <t>B - Incidência do submódulo 2.2 sobre o Aviso Prévio Trabalhado</t>
  </si>
  <si>
    <t>C - Multa do FGTS sobre Aviso Prévio Trabalhado</t>
  </si>
  <si>
    <t>MÓDULO 4: CUSTO DE REPOSIÇÃO DO PROFISSIONAL AUSENTE</t>
  </si>
  <si>
    <t>B – Substituto na cobertura de Ausências Legais</t>
  </si>
  <si>
    <t>C - Substituto na cobertura de Licença Paternidade</t>
  </si>
  <si>
    <t>D - Substituto na cobertura de Ausências por acidente de trabalho</t>
  </si>
  <si>
    <t>E - Outros</t>
  </si>
  <si>
    <t>Subtotal</t>
  </si>
  <si>
    <t>4.2 - Substituto na Intrajornada</t>
  </si>
  <si>
    <t>A - Substituto na cobertura de Intervalo para repouso ou alimentação</t>
  </si>
  <si>
    <t>4 - Custo de Reposição do Profissional Ausente</t>
  </si>
  <si>
    <t>MÓDULO 5: INSUMOS DE MÃO DE OBRA</t>
  </si>
  <si>
    <t>5 - Insumos Diversos</t>
  </si>
  <si>
    <t>A - Uniformes</t>
  </si>
  <si>
    <t>B - Materiais e utensílios</t>
  </si>
  <si>
    <t>C - Equipamentos</t>
  </si>
  <si>
    <t>D - EPIs</t>
  </si>
  <si>
    <t>E - Esquadrias de risco - Materiais/ Equipamentos/EPIs ( conforme MPOG)</t>
  </si>
  <si>
    <t>F -  Outros</t>
  </si>
  <si>
    <t>G - Outros</t>
  </si>
  <si>
    <t>MÓDULO 6: CUSTOS INDIRETOS, TRIBUTOS E LUCRO</t>
  </si>
  <si>
    <t>6 - Custos Indiretos, Tributos e Lucro</t>
  </si>
  <si>
    <t>C - Tributos  (ISS 2,00%)</t>
  </si>
  <si>
    <t>C.1 - Tributos Federais (PIS e COFINS)</t>
  </si>
  <si>
    <t>C.3 - Tributos Municipais (especificar)</t>
  </si>
  <si>
    <t>C - Tributos  (ISS 3,00%)</t>
  </si>
  <si>
    <t>C - Tributos  (ISS 4,00%)</t>
  </si>
  <si>
    <t>C - Tributos  (ISS 5,00%)</t>
  </si>
  <si>
    <t>Total Tributos por ISS Municipal</t>
  </si>
  <si>
    <t>C.4 - Outros Tributos (especificar)</t>
  </si>
  <si>
    <t>QUADRO RESUMO DO CUSTO POR EMPREGADO</t>
  </si>
  <si>
    <t>Mão de obra vinculada à execução contratual (valor por empregado)</t>
  </si>
  <si>
    <t>A - Módulo 1 - Composição da Remuneração</t>
  </si>
  <si>
    <t>B - Módulo 2 - Encargos e Benefícios Anuais, Mensais e Diários</t>
  </si>
  <si>
    <t>C - Módulo 3 - Provisão para Rescisão</t>
  </si>
  <si>
    <t>D - Módulo 4 - Custos de Reposição do Profissional Ausente</t>
  </si>
  <si>
    <t>E - Módulo 5 - Insumos Diversos</t>
  </si>
  <si>
    <t>Subtotal (A + B + C + D + E)</t>
  </si>
  <si>
    <t>F - Módulo 6 - Custos Indiretos, Tributos e Lucro (ISS 2,00%)</t>
  </si>
  <si>
    <t>F - Módulo 6 - Custos Indiretos, Tributos e Lucro (ISS 3,00%)</t>
  </si>
  <si>
    <t>F - Módulo 6 - Custos Indiretos, Tributos e Lucro (ISS 4,00%)</t>
  </si>
  <si>
    <t>F - Módulo 6 - Custos Indiretos, Tributos e Lucro (ISS 5,00%)</t>
  </si>
  <si>
    <t>TOTAL POR EMPREGADO/MÊS com ISS de 2%</t>
  </si>
  <si>
    <t>TOTAL POR EMPREGADO/MÊS com ISS de 3%</t>
  </si>
  <si>
    <t>TOTAL POR EMPREGADO/MÊS com ISS de 4%</t>
  </si>
  <si>
    <t>TOTAL POR EMPREGADO/MÊS com ISS de 5%</t>
  </si>
  <si>
    <t>VALOR DA HORA com ISS de 2%</t>
  </si>
  <si>
    <t>VALOR DA HORA com ISS de 3%</t>
  </si>
  <si>
    <t>VALOR DA HORA com ISS de 4%</t>
  </si>
  <si>
    <t>VALOR DA HORA com ISS de 5%</t>
  </si>
  <si>
    <t>AI-1 Área Interna pisos frios</t>
  </si>
  <si>
    <t>ISS de 2%</t>
  </si>
  <si>
    <t>ISS de 3%</t>
  </si>
  <si>
    <t>ISS de 4%</t>
  </si>
  <si>
    <t>ISS de 5%</t>
  </si>
  <si>
    <t>MÃO DE OBRA</t>
  </si>
  <si>
    <t>(1) PRODUTIVIDADE (1/P)</t>
  </si>
  <si>
    <t>(2) PREÇO HOMEM MÊS (R$)</t>
  </si>
  <si>
    <t>(1x2) SUBTOTAL (R$/M²)</t>
  </si>
  <si>
    <t>SERVENTE</t>
  </si>
  <si>
    <t>Subtotal 20%</t>
  </si>
  <si>
    <t>AI-2 Área interna (Almoxarifado, Galpões, arquivos )</t>
  </si>
  <si>
    <t>(1) PRODUTIVIDADE (1/M²)</t>
  </si>
  <si>
    <t>Subtotal:</t>
  </si>
  <si>
    <t>AI-3 Área interna Espaços Livres (saguão, hall, salão)</t>
  </si>
  <si>
    <t>AI-4 Área interna  Banheiros</t>
  </si>
  <si>
    <t>AE-1 AE-2 AE-3 Áreas Externas</t>
  </si>
  <si>
    <t>AE-1 Área Externa pisos adjacentes às edificações</t>
  </si>
  <si>
    <t>Subtotal AE-1</t>
  </si>
  <si>
    <t>AE-2: coleta de detritos em pátios e áreas verdes com frequência diária</t>
  </si>
  <si>
    <t>Subtotal AE-2</t>
  </si>
  <si>
    <t>AE-3 Área Externa arruamento, passeios</t>
  </si>
  <si>
    <t>Subtotal AE-3</t>
  </si>
  <si>
    <t>EER EE EI Esquadrias</t>
  </si>
  <si>
    <r>
      <rPr>
        <sz val="10"/>
        <color rgb="FF000000"/>
        <rFont val="Calibri"/>
        <family val="2"/>
        <charset val="1"/>
      </rPr>
      <t xml:space="preserve">EER Área de Esquadria Face Externa </t>
    </r>
    <r>
      <rPr>
        <b/>
        <sz val="10"/>
        <color rgb="FF000000"/>
        <rFont val="Arial"/>
        <family val="2"/>
        <charset val="1"/>
      </rPr>
      <t>COM</t>
    </r>
    <r>
      <rPr>
        <sz val="10"/>
        <color rgb="FF000000"/>
        <rFont val="Arial"/>
        <family val="2"/>
        <charset val="1"/>
      </rPr>
      <t xml:space="preserve"> exposição a risco </t>
    </r>
  </si>
  <si>
    <t>ENCARREGADO</t>
  </si>
  <si>
    <t>Subtotal EER</t>
  </si>
  <si>
    <r>
      <rPr>
        <sz val="10"/>
        <color rgb="FF000000"/>
        <rFont val="Calibri"/>
        <family val="2"/>
        <charset val="1"/>
      </rPr>
      <t xml:space="preserve">EE Área de Esquadria Face Externa </t>
    </r>
    <r>
      <rPr>
        <b/>
        <sz val="10"/>
        <color rgb="FF000000"/>
        <rFont val="Arial"/>
        <family val="2"/>
        <charset val="1"/>
      </rPr>
      <t>SEM</t>
    </r>
    <r>
      <rPr>
        <sz val="10"/>
        <color rgb="FF000000"/>
        <rFont val="Arial"/>
        <family val="2"/>
        <charset val="1"/>
      </rPr>
      <t xml:space="preserve"> exposição a risco</t>
    </r>
  </si>
  <si>
    <t>Subtotal EE</t>
  </si>
  <si>
    <t>EI Área de Esquadria Face Interna</t>
  </si>
  <si>
    <t>Subtotal EI</t>
  </si>
  <si>
    <t>Servente 44h COVID</t>
  </si>
  <si>
    <t>Servente 30h COVID</t>
  </si>
  <si>
    <t>E - Outros -Adicional de risco limpeza de vidros e fachadas ( acima de 3m)</t>
  </si>
  <si>
    <t>Encarregada de esquadrias com risco</t>
  </si>
  <si>
    <t>C - Cesta básica  ( Cl.12º)</t>
  </si>
  <si>
    <t>F -  Plano de telefone</t>
  </si>
  <si>
    <t>F -Outros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</si>
</sst>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-;\-* #,##0.00_-;_-* &quot;-&quot;??_-;_-@_-"/>
    <numFmt numFmtId="164" formatCode="_(* #,##0.00_);_(* \(#,##0.00\);_(* &quot;-&quot;??_);_(@_)"/>
    <numFmt numFmtId="165" formatCode="_-* #,##0.00_-;\-* #,##0.00_-;_-* \-??_-;_-@_-"/>
    <numFmt numFmtId="166" formatCode="&quot;R$ &quot;#,##0.00"/>
    <numFmt numFmtId="167" formatCode="d/m/yyyy"/>
    <numFmt numFmtId="168" formatCode="_-[$R$-416]\ * #,##0.00_-;\-[$R$-416]\ * #,##0.00_-;_-[$R$-416]\ * \-??_-;_-@_-"/>
    <numFmt numFmtId="169" formatCode="0.0000"/>
    <numFmt numFmtId="170" formatCode="* #,##0.00\ ;\-* #,##0.00\ ;* \-#\ ;@\ "/>
    <numFmt numFmtId="171" formatCode="#,##0.00\ ;\(#,##0.00\);\-#\ ;@\ "/>
    <numFmt numFmtId="172" formatCode="#,##0.000000;\(#,##0.000000\)"/>
    <numFmt numFmtId="173" formatCode="&quot;R$ &quot;#,##0.00;[Red]&quot;-R$ &quot;#,##0.00"/>
    <numFmt numFmtId="174" formatCode="_-&quot;R$ &quot;* #,##0.00_-;&quot;-R$ &quot;* #,##0.00_-;_-&quot;R$ &quot;* \-??_-;_-@_-"/>
    <numFmt numFmtId="175" formatCode="* #,##0.00\ ;\-* #,##0.00\ ;* \-#\ ;@"/>
    <numFmt numFmtId="176" formatCode="0.0000000"/>
    <numFmt numFmtId="177" formatCode="0.00000000"/>
    <numFmt numFmtId="178" formatCode="#,##0.00\ ;\(#,##0.00\)"/>
    <numFmt numFmtId="179" formatCode="&quot;R$ &quot;#,##0.00\ ;[Red]&quot;(R$ &quot;#,##0.00\)"/>
    <numFmt numFmtId="180" formatCode="[$R$-416]\ #,##0.00;[Red]\-[$R$-416]\ #,##0.00"/>
    <numFmt numFmtId="181" formatCode="0.000000000"/>
    <numFmt numFmtId="182" formatCode="#,##0.00\ ;#,##0.00\ ;\-#\ ;@\ "/>
    <numFmt numFmtId="183" formatCode="0.000000000;[Red]\(0.000000000\)"/>
    <numFmt numFmtId="184" formatCode="0.0000000000"/>
    <numFmt numFmtId="185" formatCode="_-[$R$-416]\ * #,##0.00_-;\-[$R$-416]\ * #,##0.00_-;_-[$R$-416]\ * &quot;-&quot;??_-;_-@_-"/>
  </numFmts>
  <fonts count="59" x14ac:knownFonts="1">
    <font>
      <sz val="11"/>
      <color rgb="FF333333"/>
      <name val="Arial"/>
      <family val="2"/>
      <charset val="1"/>
    </font>
    <font>
      <u/>
      <sz val="11"/>
      <color rgb="FF0563C1"/>
      <name val="Arial"/>
      <family val="2"/>
      <charset val="1"/>
    </font>
    <font>
      <sz val="11"/>
      <name val="Calibri"/>
      <family val="2"/>
      <charset val="1"/>
    </font>
    <font>
      <sz val="9"/>
      <color rgb="FF33333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8"/>
      <color rgb="FFFFFFFF"/>
      <name val="Calibri"/>
      <family val="2"/>
      <charset val="1"/>
    </font>
    <font>
      <b/>
      <sz val="9"/>
      <color rgb="FF333333"/>
      <name val="Calibri"/>
      <family val="2"/>
      <charset val="1"/>
    </font>
    <font>
      <sz val="9"/>
      <color rgb="FF333333"/>
      <name val="Arial"/>
      <family val="2"/>
      <charset val="1"/>
    </font>
    <font>
      <sz val="9"/>
      <color rgb="FFFF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sz val="9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333333"/>
      <name val="Calibri"/>
      <charset val="1"/>
    </font>
    <font>
      <sz val="10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0"/>
      <color rgb="FF333333"/>
      <name val="Arial"/>
      <family val="2"/>
      <charset val="1"/>
    </font>
    <font>
      <b/>
      <sz val="10"/>
      <color rgb="FF333333"/>
      <name val="Arial"/>
      <family val="2"/>
      <charset val="1"/>
    </font>
    <font>
      <b/>
      <sz val="9"/>
      <color rgb="FF333333"/>
      <name val="Arial"/>
      <family val="2"/>
      <charset val="1"/>
    </font>
    <font>
      <sz val="10"/>
      <name val="Arial"/>
      <family val="2"/>
      <charset val="1"/>
    </font>
    <font>
      <sz val="8"/>
      <color rgb="FF333333"/>
      <name val="Arial"/>
      <family val="2"/>
      <charset val="1"/>
    </font>
    <font>
      <sz val="11"/>
      <color rgb="FF444444"/>
      <name val="Calibri"/>
      <family val="2"/>
      <charset val="1"/>
    </font>
    <font>
      <sz val="18"/>
      <color rgb="FFFFFFFF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Calibri"/>
      <family val="2"/>
      <charset val="1"/>
    </font>
    <font>
      <b/>
      <sz val="10"/>
      <color rgb="FF444444"/>
      <name val="Calibri"/>
      <family val="2"/>
      <charset val="1"/>
    </font>
    <font>
      <b/>
      <sz val="8"/>
      <name val="Calibri"/>
      <family val="2"/>
      <charset val="1"/>
    </font>
    <font>
      <b/>
      <sz val="8"/>
      <color rgb="FF444444"/>
      <name val="Calibri"/>
      <family val="2"/>
      <charset val="1"/>
    </font>
    <font>
      <sz val="10"/>
      <color rgb="FF333333"/>
      <name val="Arial"/>
      <charset val="1"/>
    </font>
    <font>
      <i/>
      <sz val="9"/>
      <color rgb="FF000000"/>
      <name val="Calibri"/>
      <family val="2"/>
      <charset val="1"/>
    </font>
    <font>
      <sz val="10"/>
      <color rgb="FF000000"/>
      <name val="Calibri"/>
      <charset val="1"/>
    </font>
    <font>
      <b/>
      <i/>
      <sz val="10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8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b/>
      <sz val="10"/>
      <color rgb="FF333333"/>
      <name val="Calibri"/>
      <family val="2"/>
      <charset val="1"/>
    </font>
    <font>
      <sz val="10"/>
      <name val="Calibri"/>
      <family val="2"/>
      <charset val="1"/>
    </font>
    <font>
      <b/>
      <sz val="12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b/>
      <sz val="10"/>
      <color rgb="FF808080"/>
      <name val="Calibri"/>
      <family val="2"/>
      <charset val="1"/>
    </font>
    <font>
      <b/>
      <i/>
      <sz val="10"/>
      <color rgb="FF333333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sz val="10"/>
      <color rgb="FF000000"/>
      <name val="Arial"/>
      <charset val="1"/>
    </font>
    <font>
      <sz val="10"/>
      <color rgb="FF333333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strike/>
      <sz val="10"/>
      <color rgb="FF333333"/>
      <name val="Calibri"/>
      <family val="2"/>
    </font>
    <font>
      <sz val="10"/>
      <color rgb="FF333333"/>
      <name val="Arial"/>
    </font>
    <font>
      <sz val="10"/>
      <color rgb="FF000000"/>
      <name val="Arial"/>
    </font>
    <font>
      <b/>
      <sz val="10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strike/>
      <sz val="10"/>
      <color rgb="FF000000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rgb="FF1B4E7E"/>
        <bgColor rgb="FF444444"/>
      </patternFill>
    </fill>
    <fill>
      <patternFill patternType="solid">
        <fgColor rgb="FFD9E1F2"/>
        <bgColor rgb="FFD6DCE4"/>
      </patternFill>
    </fill>
    <fill>
      <patternFill patternType="solid">
        <fgColor rgb="FFD6DCE4"/>
        <bgColor rgb="FFDBDBDB"/>
      </patternFill>
    </fill>
    <fill>
      <patternFill patternType="solid">
        <fgColor rgb="FFFFFFFF"/>
        <bgColor rgb="FFFFFFCC"/>
      </patternFill>
    </fill>
    <fill>
      <patternFill patternType="solid">
        <fgColor rgb="FFFFE699"/>
        <bgColor rgb="FFFFFF99"/>
      </patternFill>
    </fill>
    <fill>
      <patternFill patternType="solid">
        <fgColor rgb="FFBF819E"/>
        <bgColor rgb="FFA6A6A6"/>
      </patternFill>
    </fill>
    <fill>
      <patternFill patternType="solid">
        <fgColor rgb="FF729FCF"/>
        <bgColor rgb="FF5B9BD5"/>
      </patternFill>
    </fill>
    <fill>
      <patternFill patternType="solid">
        <fgColor rgb="FF8EA9DB"/>
        <bgColor rgb="FF8FAADC"/>
      </patternFill>
    </fill>
    <fill>
      <patternFill patternType="solid">
        <fgColor rgb="FFD0CECE"/>
        <bgColor rgb="FFCCCCCC"/>
      </patternFill>
    </fill>
    <fill>
      <patternFill patternType="solid">
        <fgColor rgb="FFF4B183"/>
        <bgColor rgb="FFFF9999"/>
      </patternFill>
    </fill>
    <fill>
      <patternFill patternType="solid">
        <fgColor rgb="FFFCE4D6"/>
        <bgColor rgb="FFFFF2CC"/>
      </patternFill>
    </fill>
    <fill>
      <patternFill patternType="solid">
        <fgColor rgb="FF39914F"/>
        <bgColor rgb="FF70AD47"/>
      </patternFill>
    </fill>
    <fill>
      <patternFill patternType="solid">
        <fgColor rgb="FFC6E0B4"/>
        <bgColor rgb="FFD9D9D9"/>
      </patternFill>
    </fill>
    <fill>
      <patternFill patternType="solid">
        <fgColor rgb="FF8497B0"/>
        <bgColor rgb="FF729FCF"/>
      </patternFill>
    </fill>
    <fill>
      <patternFill patternType="solid">
        <fgColor rgb="FFD9D9D9"/>
        <bgColor rgb="FFDBDBDB"/>
      </patternFill>
    </fill>
    <fill>
      <patternFill patternType="solid">
        <fgColor rgb="FFA1467E"/>
        <bgColor rgb="FF824802"/>
      </patternFill>
    </fill>
    <fill>
      <patternFill patternType="solid">
        <fgColor rgb="FF5EB91E"/>
        <bgColor rgb="FF70AD47"/>
      </patternFill>
    </fill>
    <fill>
      <patternFill patternType="solid">
        <fgColor rgb="FF5983B0"/>
        <bgColor rgb="FF5B9BD5"/>
      </patternFill>
    </fill>
    <fill>
      <patternFill patternType="solid">
        <fgColor rgb="FFA6A6A6"/>
        <bgColor rgb="FFADB9CA"/>
      </patternFill>
    </fill>
    <fill>
      <patternFill patternType="solid">
        <fgColor rgb="FFBBE33D"/>
        <bgColor rgb="FFA9D08E"/>
      </patternFill>
    </fill>
    <fill>
      <patternFill patternType="solid">
        <fgColor rgb="FFB4C7DC"/>
        <bgColor rgb="FFB4C6E7"/>
      </patternFill>
    </fill>
    <fill>
      <patternFill patternType="solid">
        <fgColor rgb="FF808080"/>
        <bgColor rgb="FF8497B0"/>
      </patternFill>
    </fill>
    <fill>
      <patternFill patternType="solid">
        <fgColor rgb="FF5B9BD5"/>
        <bgColor rgb="FF729FCF"/>
      </patternFill>
    </fill>
    <fill>
      <patternFill patternType="solid">
        <fgColor rgb="FFCCCCCC"/>
        <bgColor rgb="FFD0CECE"/>
      </patternFill>
    </fill>
    <fill>
      <patternFill patternType="solid">
        <fgColor rgb="FFFE7528"/>
        <bgColor rgb="FFF76304"/>
      </patternFill>
    </fill>
    <fill>
      <patternFill patternType="solid">
        <fgColor rgb="FF9BC2E6"/>
        <bgColor rgb="FFB4C6E7"/>
      </patternFill>
    </fill>
    <fill>
      <patternFill patternType="solid">
        <fgColor rgb="FFADB9CA"/>
        <bgColor rgb="FFC0C0C0"/>
      </patternFill>
    </fill>
    <fill>
      <patternFill patternType="solid">
        <fgColor rgb="FFDBDBDB"/>
        <bgColor rgb="FFDDDDDD"/>
      </patternFill>
    </fill>
    <fill>
      <patternFill patternType="solid">
        <fgColor rgb="FFFF9999"/>
        <bgColor rgb="FFF4B183"/>
      </patternFill>
    </fill>
    <fill>
      <patternFill patternType="solid">
        <fgColor rgb="FFFFCCCC"/>
        <bgColor rgb="FFFACFD6"/>
      </patternFill>
    </fill>
    <fill>
      <patternFill patternType="solid">
        <fgColor rgb="FFC1C1C1"/>
        <bgColor rgb="FFC0C0C0"/>
      </patternFill>
    </fill>
    <fill>
      <patternFill patternType="solid">
        <fgColor rgb="FFDDDDDD"/>
        <bgColor rgb="FFDBDBDB"/>
      </patternFill>
    </fill>
    <fill>
      <patternFill patternType="solid">
        <fgColor rgb="FFE7E6E6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ADB9CA"/>
      </patternFill>
    </fill>
    <fill>
      <patternFill patternType="solid">
        <fgColor rgb="FF00CCFF"/>
        <bgColor rgb="FF5B9BD5"/>
      </patternFill>
    </fill>
    <fill>
      <patternFill patternType="solid">
        <fgColor rgb="FF00FF00"/>
        <bgColor rgb="FF5EB91E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C1C1C1"/>
      </patternFill>
    </fill>
    <fill>
      <patternFill patternType="solid">
        <fgColor rgb="FFDEEBF7"/>
        <bgColor rgb="FFD9E1F2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FE7528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indexed="64"/>
      </patternFill>
    </fill>
  </fills>
  <borders count="17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9BC2E6"/>
      </left>
      <right/>
      <top style="thin">
        <color rgb="FFB4C6E7"/>
      </top>
      <bottom style="thin">
        <color rgb="FF9BC2E6"/>
      </bottom>
      <diagonal/>
    </border>
    <border>
      <left/>
      <right/>
      <top style="thin">
        <color rgb="FFB4C6E7"/>
      </top>
      <bottom/>
      <diagonal/>
    </border>
    <border>
      <left/>
      <right/>
      <top style="thin">
        <color rgb="FFB4C6E7"/>
      </top>
      <bottom style="thin">
        <color rgb="FF9BC2E6"/>
      </bottom>
      <diagonal/>
    </border>
    <border>
      <left/>
      <right/>
      <top style="thin">
        <color rgb="FFB4C6E7"/>
      </top>
      <bottom style="thin">
        <color rgb="FFB4C6E7"/>
      </bottom>
      <diagonal/>
    </border>
    <border>
      <left/>
      <right/>
      <top style="thin">
        <color rgb="FF9BC2E6"/>
      </top>
      <bottom style="thin">
        <color rgb="FFB4C6E7"/>
      </bottom>
      <diagonal/>
    </border>
    <border>
      <left/>
      <right/>
      <top/>
      <bottom style="thin">
        <color rgb="FFB4C6E7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/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/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5">
    <xf numFmtId="0" fontId="0" fillId="0" borderId="0"/>
    <xf numFmtId="170" fontId="15" fillId="0" borderId="0"/>
    <xf numFmtId="9" fontId="17" fillId="0" borderId="0" applyBorder="0" applyProtection="0"/>
    <xf numFmtId="0" fontId="1" fillId="0" borderId="0" applyBorder="0" applyProtection="0"/>
    <xf numFmtId="165" fontId="2" fillId="0" borderId="0" applyBorder="0" applyProtection="0"/>
  </cellStyleXfs>
  <cellXfs count="93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167" fontId="3" fillId="0" borderId="3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horizontal="center" vertic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10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/>
    <xf numFmtId="169" fontId="3" fillId="0" borderId="10" xfId="0" applyNumberFormat="1" applyFont="1" applyBorder="1"/>
    <xf numFmtId="0" fontId="6" fillId="0" borderId="12" xfId="0" applyFont="1" applyBorder="1"/>
    <xf numFmtId="0" fontId="6" fillId="3" borderId="13" xfId="0" applyFont="1" applyFill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0" fontId="8" fillId="0" borderId="9" xfId="0" applyNumberFormat="1" applyFont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8" fillId="0" borderId="13" xfId="0" applyFont="1" applyBorder="1" applyAlignment="1">
      <alignment vertical="center"/>
    </xf>
    <xf numFmtId="10" fontId="8" fillId="0" borderId="13" xfId="0" applyNumberFormat="1" applyFont="1" applyBorder="1" applyAlignment="1">
      <alignment horizontal="left" vertical="center"/>
    </xf>
    <xf numFmtId="10" fontId="8" fillId="0" borderId="4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0" fontId="8" fillId="0" borderId="14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3" borderId="17" xfId="0" applyFont="1" applyFill="1" applyBorder="1" applyAlignment="1">
      <alignment horizontal="left" vertical="center"/>
    </xf>
    <xf numFmtId="10" fontId="8" fillId="0" borderId="7" xfId="0" applyNumberFormat="1" applyFont="1" applyBorder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9" fillId="6" borderId="18" xfId="0" applyFont="1" applyFill="1" applyBorder="1" applyAlignment="1" applyProtection="1">
      <alignment horizontal="center" vertical="center"/>
      <protection locked="0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vertical="center"/>
    </xf>
    <xf numFmtId="0" fontId="12" fillId="0" borderId="21" xfId="0" applyFont="1" applyBorder="1" applyAlignment="1">
      <alignment wrapText="1"/>
    </xf>
    <xf numFmtId="10" fontId="13" fillId="0" borderId="22" xfId="0" applyNumberFormat="1" applyFont="1" applyBorder="1"/>
    <xf numFmtId="0" fontId="14" fillId="0" borderId="21" xfId="0" applyFont="1" applyBorder="1"/>
    <xf numFmtId="0" fontId="3" fillId="0" borderId="0" xfId="0" applyFont="1" applyAlignment="1">
      <alignment horizontal="center"/>
    </xf>
    <xf numFmtId="172" fontId="3" fillId="0" borderId="3" xfId="1" applyNumberFormat="1" applyFont="1" applyBorder="1" applyAlignment="1">
      <alignment horizontal="center" vertical="center"/>
    </xf>
    <xf numFmtId="0" fontId="6" fillId="8" borderId="6" xfId="0" applyFont="1" applyFill="1" applyBorder="1" applyAlignment="1">
      <alignment horizontal="center"/>
    </xf>
    <xf numFmtId="0" fontId="0" fillId="8" borderId="5" xfId="0" applyFill="1" applyBorder="1"/>
    <xf numFmtId="172" fontId="3" fillId="8" borderId="5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center" vertical="center" wrapText="1"/>
    </xf>
    <xf numFmtId="0" fontId="20" fillId="0" borderId="22" xfId="0" applyFont="1" applyBorder="1"/>
    <xf numFmtId="0" fontId="20" fillId="0" borderId="7" xfId="0" applyFont="1" applyBorder="1"/>
    <xf numFmtId="0" fontId="17" fillId="5" borderId="3" xfId="0" applyFont="1" applyFill="1" applyBorder="1"/>
    <xf numFmtId="166" fontId="17" fillId="0" borderId="25" xfId="0" applyNumberFormat="1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20" fillId="0" borderId="37" xfId="0" applyFont="1" applyBorder="1"/>
    <xf numFmtId="0" fontId="20" fillId="0" borderId="8" xfId="0" applyFont="1" applyBorder="1"/>
    <xf numFmtId="0" fontId="17" fillId="5" borderId="11" xfId="0" applyFont="1" applyFill="1" applyBorder="1"/>
    <xf numFmtId="0" fontId="17" fillId="0" borderId="38" xfId="0" applyFont="1" applyBorder="1" applyAlignment="1">
      <alignment vertical="center"/>
    </xf>
    <xf numFmtId="0" fontId="18" fillId="9" borderId="39" xfId="0" applyFont="1" applyFill="1" applyBorder="1" applyAlignment="1">
      <alignment vertical="center"/>
    </xf>
    <xf numFmtId="0" fontId="18" fillId="9" borderId="40" xfId="0" applyFont="1" applyFill="1" applyBorder="1" applyAlignment="1">
      <alignment vertical="center"/>
    </xf>
    <xf numFmtId="166" fontId="18" fillId="9" borderId="40" xfId="0" applyNumberFormat="1" applyFont="1" applyFill="1" applyBorder="1" applyAlignment="1">
      <alignment vertical="center"/>
    </xf>
    <xf numFmtId="0" fontId="19" fillId="3" borderId="36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174" fontId="17" fillId="0" borderId="21" xfId="0" applyNumberFormat="1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4" xfId="0" applyFont="1" applyBorder="1" applyAlignment="1">
      <alignment vertical="center"/>
    </xf>
    <xf numFmtId="0" fontId="17" fillId="0" borderId="43" xfId="0" applyFont="1" applyBorder="1"/>
    <xf numFmtId="0" fontId="17" fillId="0" borderId="5" xfId="0" applyFont="1" applyBorder="1"/>
    <xf numFmtId="0" fontId="22" fillId="0" borderId="32" xfId="0" applyFont="1" applyBorder="1"/>
    <xf numFmtId="0" fontId="17" fillId="0" borderId="45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174" fontId="17" fillId="0" borderId="35" xfId="0" applyNumberFormat="1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173" fontId="18" fillId="3" borderId="48" xfId="0" applyNumberFormat="1" applyFont="1" applyFill="1" applyBorder="1" applyAlignment="1">
      <alignment horizontal="center" vertical="center"/>
    </xf>
    <xf numFmtId="173" fontId="18" fillId="3" borderId="41" xfId="0" applyNumberFormat="1" applyFont="1" applyFill="1" applyBorder="1" applyAlignment="1">
      <alignment horizontal="center" vertical="center"/>
    </xf>
    <xf numFmtId="0" fontId="17" fillId="5" borderId="35" xfId="0" applyFont="1" applyFill="1" applyBorder="1" applyAlignment="1">
      <alignment vertical="center"/>
    </xf>
    <xf numFmtId="0" fontId="17" fillId="5" borderId="0" xfId="0" applyFont="1" applyFill="1" applyAlignment="1">
      <alignment vertical="center"/>
    </xf>
    <xf numFmtId="173" fontId="17" fillId="5" borderId="0" xfId="0" applyNumberFormat="1" applyFont="1" applyFill="1" applyAlignment="1">
      <alignment vertical="center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2" fontId="17" fillId="5" borderId="3" xfId="0" applyNumberFormat="1" applyFont="1" applyFill="1" applyBorder="1" applyAlignment="1">
      <alignment vertical="center"/>
    </xf>
    <xf numFmtId="0" fontId="17" fillId="0" borderId="22" xfId="0" applyFont="1" applyBorder="1"/>
    <xf numFmtId="0" fontId="17" fillId="0" borderId="37" xfId="0" applyFont="1" applyBorder="1"/>
    <xf numFmtId="0" fontId="17" fillId="0" borderId="45" xfId="0" applyFont="1" applyBorder="1"/>
    <xf numFmtId="0" fontId="19" fillId="3" borderId="49" xfId="0" applyFont="1" applyFill="1" applyBorder="1" applyAlignment="1">
      <alignment horizontal="center" vertical="center" wrapText="1"/>
    </xf>
    <xf numFmtId="0" fontId="17" fillId="0" borderId="50" xfId="0" applyFont="1" applyBorder="1" applyAlignment="1">
      <alignment vertical="center"/>
    </xf>
    <xf numFmtId="166" fontId="17" fillId="5" borderId="0" xfId="0" applyNumberFormat="1" applyFont="1" applyFill="1" applyAlignment="1">
      <alignment vertical="center"/>
    </xf>
    <xf numFmtId="174" fontId="17" fillId="5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0" fontId="19" fillId="12" borderId="28" xfId="0" applyFont="1" applyFill="1" applyBorder="1" applyAlignment="1">
      <alignment horizontal="center" vertical="center" wrapText="1"/>
    </xf>
    <xf numFmtId="0" fontId="19" fillId="12" borderId="29" xfId="0" applyFont="1" applyFill="1" applyBorder="1" applyAlignment="1">
      <alignment horizontal="center" vertical="center" wrapText="1"/>
    </xf>
    <xf numFmtId="0" fontId="19" fillId="12" borderId="30" xfId="0" applyFont="1" applyFill="1" applyBorder="1" applyAlignment="1">
      <alignment horizontal="center" vertical="center" wrapText="1"/>
    </xf>
    <xf numFmtId="0" fontId="19" fillId="12" borderId="3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51" xfId="0" applyFont="1" applyBorder="1"/>
    <xf numFmtId="173" fontId="18" fillId="12" borderId="39" xfId="0" applyNumberFormat="1" applyFont="1" applyFill="1" applyBorder="1" applyAlignment="1">
      <alignment vertical="center"/>
    </xf>
    <xf numFmtId="173" fontId="18" fillId="12" borderId="26" xfId="0" applyNumberFormat="1" applyFont="1" applyFill="1" applyBorder="1" applyAlignment="1">
      <alignment vertical="center"/>
    </xf>
    <xf numFmtId="173" fontId="18" fillId="0" borderId="0" xfId="0" applyNumberFormat="1" applyFont="1" applyAlignment="1">
      <alignment vertical="center"/>
    </xf>
    <xf numFmtId="9" fontId="18" fillId="12" borderId="52" xfId="0" applyNumberFormat="1" applyFont="1" applyFill="1" applyBorder="1" applyAlignment="1">
      <alignment horizontal="left" vertical="center"/>
    </xf>
    <xf numFmtId="0" fontId="18" fillId="12" borderId="52" xfId="0" applyFont="1" applyFill="1" applyBorder="1" applyAlignment="1">
      <alignment horizontal="center" vertical="center"/>
    </xf>
    <xf numFmtId="173" fontId="18" fillId="12" borderId="35" xfId="0" applyNumberFormat="1" applyFont="1" applyFill="1" applyBorder="1" applyAlignment="1">
      <alignment vertical="center"/>
    </xf>
    <xf numFmtId="173" fontId="18" fillId="12" borderId="32" xfId="0" applyNumberFormat="1" applyFont="1" applyFill="1" applyBorder="1" applyAlignment="1">
      <alignment vertical="center"/>
    </xf>
    <xf numFmtId="0" fontId="19" fillId="14" borderId="37" xfId="0" applyFont="1" applyFill="1" applyBorder="1" applyAlignment="1">
      <alignment horizontal="center" vertical="center" wrapText="1"/>
    </xf>
    <xf numFmtId="0" fontId="19" fillId="14" borderId="8" xfId="0" applyFont="1" applyFill="1" applyBorder="1" applyAlignment="1">
      <alignment horizontal="center" vertical="center" wrapText="1"/>
    </xf>
    <xf numFmtId="0" fontId="19" fillId="14" borderId="17" xfId="0" applyFont="1" applyFill="1" applyBorder="1" applyAlignment="1">
      <alignment horizontal="center" vertical="center" wrapText="1"/>
    </xf>
    <xf numFmtId="0" fontId="19" fillId="14" borderId="32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/>
    </xf>
    <xf numFmtId="0" fontId="17" fillId="0" borderId="53" xfId="0" applyFont="1" applyBorder="1" applyAlignment="1">
      <alignment vertical="center"/>
    </xf>
    <xf numFmtId="0" fontId="17" fillId="0" borderId="54" xfId="0" applyFont="1" applyBorder="1" applyAlignment="1">
      <alignment vertical="center"/>
    </xf>
    <xf numFmtId="0" fontId="19" fillId="4" borderId="3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173" fontId="18" fillId="15" borderId="26" xfId="0" applyNumberFormat="1" applyFont="1" applyFill="1" applyBorder="1" applyAlignment="1">
      <alignment vertical="center"/>
    </xf>
    <xf numFmtId="0" fontId="17" fillId="0" borderId="9" xfId="0" applyFont="1" applyBorder="1" applyAlignment="1">
      <alignment vertical="center"/>
    </xf>
    <xf numFmtId="173" fontId="17" fillId="0" borderId="25" xfId="0" applyNumberFormat="1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2" fontId="17" fillId="0" borderId="3" xfId="0" applyNumberFormat="1" applyFont="1" applyBorder="1" applyAlignment="1">
      <alignment vertical="center"/>
    </xf>
    <xf numFmtId="2" fontId="17" fillId="0" borderId="7" xfId="0" applyNumberFormat="1" applyFont="1" applyBorder="1" applyAlignment="1">
      <alignment vertical="center"/>
    </xf>
    <xf numFmtId="173" fontId="17" fillId="0" borderId="44" xfId="0" applyNumberFormat="1" applyFont="1" applyBorder="1" applyAlignment="1">
      <alignment vertical="center"/>
    </xf>
    <xf numFmtId="173" fontId="17" fillId="0" borderId="24" xfId="0" applyNumberFormat="1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173" fontId="17" fillId="0" borderId="46" xfId="0" applyNumberFormat="1" applyFont="1" applyBorder="1" applyAlignment="1">
      <alignment vertical="center"/>
    </xf>
    <xf numFmtId="173" fontId="17" fillId="0" borderId="27" xfId="0" applyNumberFormat="1" applyFont="1" applyBorder="1" applyAlignment="1">
      <alignment vertical="center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49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173" fontId="18" fillId="15" borderId="36" xfId="0" applyNumberFormat="1" applyFont="1" applyFill="1" applyBorder="1" applyAlignment="1">
      <alignment vertical="center"/>
    </xf>
    <xf numFmtId="0" fontId="14" fillId="5" borderId="43" xfId="0" applyFont="1" applyFill="1" applyBorder="1" applyAlignment="1">
      <alignment wrapText="1"/>
    </xf>
    <xf numFmtId="0" fontId="12" fillId="16" borderId="52" xfId="4" applyNumberFormat="1" applyFont="1" applyFill="1" applyBorder="1" applyAlignment="1" applyProtection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20" borderId="52" xfId="0" applyFont="1" applyFill="1" applyBorder="1" applyAlignment="1" applyProtection="1">
      <alignment horizontal="center" vertical="center"/>
      <protection locked="0"/>
    </xf>
    <xf numFmtId="0" fontId="9" fillId="7" borderId="41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9" fillId="21" borderId="26" xfId="0" applyFont="1" applyFill="1" applyBorder="1" applyAlignment="1">
      <alignment horizontal="center" vertical="center" wrapText="1"/>
    </xf>
    <xf numFmtId="0" fontId="12" fillId="22" borderId="26" xfId="0" applyFont="1" applyFill="1" applyBorder="1" applyAlignment="1">
      <alignment horizontal="center" vertical="center" wrapText="1"/>
    </xf>
    <xf numFmtId="0" fontId="12" fillId="20" borderId="0" xfId="0" applyFont="1" applyFill="1" applyAlignment="1" applyProtection="1">
      <alignment horizontal="center" vertical="center"/>
      <protection locked="0"/>
    </xf>
    <xf numFmtId="0" fontId="12" fillId="20" borderId="1" xfId="0" applyFont="1" applyFill="1" applyBorder="1" applyAlignment="1" applyProtection="1">
      <alignment horizontal="center" vertical="center"/>
      <protection locked="0"/>
    </xf>
    <xf numFmtId="0" fontId="9" fillId="7" borderId="48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12" fillId="22" borderId="39" xfId="0" applyFont="1" applyFill="1" applyBorder="1" applyAlignment="1">
      <alignment horizontal="center" vertical="center" wrapText="1"/>
    </xf>
    <xf numFmtId="0" fontId="28" fillId="20" borderId="39" xfId="0" applyFont="1" applyFill="1" applyBorder="1" applyAlignment="1">
      <alignment horizontal="center" vertical="center" wrapText="1"/>
    </xf>
    <xf numFmtId="0" fontId="28" fillId="27" borderId="55" xfId="0" applyFont="1" applyFill="1" applyBorder="1" applyAlignment="1">
      <alignment horizontal="center" vertical="center" wrapText="1"/>
    </xf>
    <xf numFmtId="0" fontId="28" fillId="28" borderId="48" xfId="0" applyFont="1" applyFill="1" applyBorder="1" applyAlignment="1">
      <alignment horizontal="center" vertical="center" wrapText="1"/>
    </xf>
    <xf numFmtId="0" fontId="28" fillId="29" borderId="47" xfId="0" applyFont="1" applyFill="1" applyBorder="1" applyAlignment="1">
      <alignment horizontal="center" vertical="center" wrapText="1"/>
    </xf>
    <xf numFmtId="0" fontId="14" fillId="30" borderId="2" xfId="0" applyFont="1" applyFill="1" applyBorder="1" applyAlignment="1" applyProtection="1">
      <alignment horizontal="left" vertical="center" wrapText="1"/>
      <protection locked="0"/>
    </xf>
    <xf numFmtId="10" fontId="14" fillId="3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22" xfId="0" applyNumberFormat="1" applyFont="1" applyBorder="1"/>
    <xf numFmtId="166" fontId="31" fillId="0" borderId="56" xfId="1" applyNumberFormat="1" applyFont="1" applyBorder="1" applyAlignment="1">
      <alignment horizontal="center" vertical="center"/>
    </xf>
    <xf numFmtId="2" fontId="9" fillId="0" borderId="7" xfId="0" applyNumberFormat="1" applyFont="1" applyBorder="1"/>
    <xf numFmtId="166" fontId="31" fillId="0" borderId="10" xfId="1" applyNumberFormat="1" applyFont="1" applyBorder="1" applyAlignment="1">
      <alignment horizontal="center" vertical="center"/>
    </xf>
    <xf numFmtId="2" fontId="9" fillId="0" borderId="23" xfId="0" applyNumberFormat="1" applyFont="1" applyBorder="1"/>
    <xf numFmtId="168" fontId="28" fillId="20" borderId="21" xfId="0" applyNumberFormat="1" applyFont="1" applyFill="1" applyBorder="1" applyAlignment="1">
      <alignment horizontal="center" vertical="center" wrapText="1"/>
    </xf>
    <xf numFmtId="168" fontId="14" fillId="27" borderId="57" xfId="1" applyNumberFormat="1" applyFont="1" applyFill="1" applyBorder="1" applyAlignment="1">
      <alignment horizontal="center" vertical="center"/>
    </xf>
    <xf numFmtId="170" fontId="14" fillId="28" borderId="58" xfId="1" applyFont="1" applyFill="1" applyBorder="1" applyAlignment="1">
      <alignment horizontal="center" vertical="center"/>
    </xf>
    <xf numFmtId="168" fontId="14" fillId="29" borderId="55" xfId="1" applyNumberFormat="1" applyFont="1" applyFill="1" applyBorder="1" applyAlignment="1">
      <alignment horizontal="center" vertical="center"/>
    </xf>
    <xf numFmtId="0" fontId="14" fillId="31" borderId="14" xfId="0" applyFont="1" applyFill="1" applyBorder="1" applyAlignment="1" applyProtection="1">
      <alignment horizontal="left" vertical="center"/>
      <protection locked="0"/>
    </xf>
    <xf numFmtId="10" fontId="14" fillId="31" borderId="14" xfId="0" applyNumberFormat="1" applyFont="1" applyFill="1" applyBorder="1" applyAlignment="1" applyProtection="1">
      <alignment horizontal="center" vertical="center"/>
      <protection locked="0"/>
    </xf>
    <xf numFmtId="166" fontId="31" fillId="0" borderId="34" xfId="1" applyNumberFormat="1" applyFont="1" applyBorder="1" applyAlignment="1">
      <alignment horizontal="center" vertical="center"/>
    </xf>
    <xf numFmtId="166" fontId="31" fillId="0" borderId="5" xfId="1" applyNumberFormat="1" applyFont="1" applyBorder="1" applyAlignment="1">
      <alignment horizontal="center" vertical="center"/>
    </xf>
    <xf numFmtId="170" fontId="14" fillId="28" borderId="14" xfId="1" applyFont="1" applyFill="1" applyBorder="1" applyAlignment="1">
      <alignment horizontal="center" vertical="center"/>
    </xf>
    <xf numFmtId="168" fontId="14" fillId="29" borderId="57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166" fontId="31" fillId="0" borderId="38" xfId="1" applyNumberFormat="1" applyFont="1" applyBorder="1" applyAlignment="1">
      <alignment horizontal="center" vertical="center"/>
    </xf>
    <xf numFmtId="166" fontId="31" fillId="0" borderId="15" xfId="1" applyNumberFormat="1" applyFont="1" applyBorder="1" applyAlignment="1">
      <alignment horizontal="center" vertical="center"/>
    </xf>
    <xf numFmtId="168" fontId="14" fillId="27" borderId="60" xfId="1" applyNumberFormat="1" applyFont="1" applyFill="1" applyBorder="1" applyAlignment="1">
      <alignment horizontal="center" vertical="center"/>
    </xf>
    <xf numFmtId="170" fontId="14" fillId="28" borderId="4" xfId="1" applyFont="1" applyFill="1" applyBorder="1" applyAlignment="1">
      <alignment horizontal="center" vertical="center"/>
    </xf>
    <xf numFmtId="2" fontId="9" fillId="0" borderId="37" xfId="0" applyNumberFormat="1" applyFont="1" applyBorder="1"/>
    <xf numFmtId="166" fontId="31" fillId="0" borderId="61" xfId="1" applyNumberFormat="1" applyFont="1" applyBorder="1" applyAlignment="1">
      <alignment horizontal="center" vertical="center"/>
    </xf>
    <xf numFmtId="2" fontId="9" fillId="0" borderId="8" xfId="0" applyNumberFormat="1" applyFont="1" applyBorder="1"/>
    <xf numFmtId="2" fontId="9" fillId="0" borderId="45" xfId="1" applyNumberFormat="1" applyFont="1" applyBorder="1" applyAlignment="1">
      <alignment horizontal="center" vertical="center"/>
    </xf>
    <xf numFmtId="2" fontId="9" fillId="0" borderId="62" xfId="0" applyNumberFormat="1" applyFont="1" applyBorder="1"/>
    <xf numFmtId="168" fontId="14" fillId="27" borderId="63" xfId="1" applyNumberFormat="1" applyFont="1" applyFill="1" applyBorder="1" applyAlignment="1">
      <alignment horizontal="center" vertical="center"/>
    </xf>
    <xf numFmtId="170" fontId="14" fillId="28" borderId="16" xfId="1" applyFont="1" applyFill="1" applyBorder="1" applyAlignment="1">
      <alignment horizontal="center" vertical="center"/>
    </xf>
    <xf numFmtId="166" fontId="34" fillId="19" borderId="64" xfId="1" applyNumberFormat="1" applyFont="1" applyFill="1" applyBorder="1" applyAlignment="1">
      <alignment horizontal="center" vertical="center"/>
    </xf>
    <xf numFmtId="170" fontId="34" fillId="19" borderId="19" xfId="1" applyFont="1" applyFill="1" applyBorder="1" applyAlignment="1">
      <alignment horizontal="center" vertical="center"/>
    </xf>
    <xf numFmtId="168" fontId="34" fillId="19" borderId="49" xfId="1" applyNumberFormat="1" applyFont="1" applyFill="1" applyBorder="1" applyAlignment="1">
      <alignment horizontal="center" vertical="center"/>
    </xf>
    <xf numFmtId="168" fontId="35" fillId="19" borderId="49" xfId="1" applyNumberFormat="1" applyFont="1" applyFill="1" applyBorder="1" applyAlignment="1">
      <alignment horizontal="center" vertical="center"/>
    </xf>
    <xf numFmtId="170" fontId="34" fillId="19" borderId="20" xfId="1" applyFont="1" applyFill="1" applyBorder="1" applyAlignment="1">
      <alignment horizontal="center" vertical="center"/>
    </xf>
    <xf numFmtId="168" fontId="34" fillId="19" borderId="65" xfId="1" applyNumberFormat="1" applyFont="1" applyFill="1" applyBorder="1" applyAlignment="1">
      <alignment horizontal="center" vertical="center"/>
    </xf>
    <xf numFmtId="168" fontId="34" fillId="19" borderId="20" xfId="1" applyNumberFormat="1" applyFont="1" applyFill="1" applyBorder="1" applyAlignment="1">
      <alignment horizontal="center" vertical="center"/>
    </xf>
    <xf numFmtId="166" fontId="16" fillId="0" borderId="10" xfId="1" applyNumberFormat="1" applyFont="1" applyBorder="1" applyAlignment="1">
      <alignment horizontal="center" vertical="center"/>
    </xf>
    <xf numFmtId="2" fontId="9" fillId="0" borderId="67" xfId="0" applyNumberFormat="1" applyFont="1" applyBorder="1"/>
    <xf numFmtId="168" fontId="16" fillId="0" borderId="9" xfId="0" applyNumberFormat="1" applyFont="1" applyBorder="1" applyAlignment="1">
      <alignment horizontal="center" vertical="center"/>
    </xf>
    <xf numFmtId="170" fontId="16" fillId="0" borderId="67" xfId="1" applyFont="1" applyBorder="1" applyAlignment="1">
      <alignment horizontal="center" vertical="center"/>
    </xf>
    <xf numFmtId="175" fontId="16" fillId="0" borderId="7" xfId="0" applyNumberFormat="1" applyFont="1" applyBorder="1" applyAlignment="1">
      <alignment horizontal="center" vertical="center"/>
    </xf>
    <xf numFmtId="2" fontId="9" fillId="0" borderId="59" xfId="0" applyNumberFormat="1" applyFont="1" applyBorder="1"/>
    <xf numFmtId="170" fontId="14" fillId="28" borderId="68" xfId="1" applyFont="1" applyFill="1" applyBorder="1" applyAlignment="1">
      <alignment horizontal="center" vertical="center"/>
    </xf>
    <xf numFmtId="168" fontId="14" fillId="11" borderId="55" xfId="1" applyNumberFormat="1" applyFont="1" applyFill="1" applyBorder="1" applyAlignment="1">
      <alignment horizontal="center" vertical="center"/>
    </xf>
    <xf numFmtId="166" fontId="16" fillId="0" borderId="5" xfId="1" applyNumberFormat="1" applyFont="1" applyBorder="1" applyAlignment="1">
      <alignment horizontal="center" vertical="center"/>
    </xf>
    <xf numFmtId="168" fontId="16" fillId="0" borderId="6" xfId="0" applyNumberFormat="1" applyFont="1" applyBorder="1" applyAlignment="1">
      <alignment horizontal="center" vertical="center"/>
    </xf>
    <xf numFmtId="170" fontId="16" fillId="0" borderId="3" xfId="1" applyFont="1" applyBorder="1" applyAlignment="1">
      <alignment horizontal="center" vertical="center"/>
    </xf>
    <xf numFmtId="175" fontId="16" fillId="0" borderId="3" xfId="0" applyNumberFormat="1" applyFont="1" applyBorder="1" applyAlignment="1">
      <alignment horizontal="center" vertical="center"/>
    </xf>
    <xf numFmtId="2" fontId="9" fillId="0" borderId="9" xfId="0" applyNumberFormat="1" applyFont="1" applyBorder="1"/>
    <xf numFmtId="170" fontId="14" fillId="28" borderId="69" xfId="1" applyFont="1" applyFill="1" applyBorder="1" applyAlignment="1">
      <alignment horizontal="center" vertical="center"/>
    </xf>
    <xf numFmtId="168" fontId="14" fillId="11" borderId="57" xfId="1" applyNumberFormat="1" applyFont="1" applyFill="1" applyBorder="1" applyAlignment="1">
      <alignment horizontal="center" vertical="center"/>
    </xf>
    <xf numFmtId="2" fontId="9" fillId="0" borderId="17" xfId="0" applyNumberFormat="1" applyFont="1" applyBorder="1"/>
    <xf numFmtId="170" fontId="34" fillId="19" borderId="70" xfId="1" applyFont="1" applyFill="1" applyBorder="1" applyAlignment="1">
      <alignment horizontal="center" vertical="center"/>
    </xf>
    <xf numFmtId="166" fontId="34" fillId="19" borderId="70" xfId="1" applyNumberFormat="1" applyFont="1" applyFill="1" applyBorder="1" applyAlignment="1">
      <alignment horizontal="center" vertical="center"/>
    </xf>
    <xf numFmtId="4" fontId="34" fillId="19" borderId="19" xfId="1" applyNumberFormat="1" applyFont="1" applyFill="1" applyBorder="1" applyAlignment="1">
      <alignment horizontal="center" vertical="center"/>
    </xf>
    <xf numFmtId="4" fontId="34" fillId="19" borderId="4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2" fontId="26" fillId="0" borderId="0" xfId="0" applyNumberFormat="1" applyFont="1" applyAlignment="1">
      <alignment horizontal="center"/>
    </xf>
    <xf numFmtId="0" fontId="36" fillId="0" borderId="0" xfId="0" applyFont="1"/>
    <xf numFmtId="0" fontId="0" fillId="2" borderId="71" xfId="0" applyFill="1" applyBorder="1" applyAlignment="1">
      <alignment horizontal="center" vertical="center"/>
    </xf>
    <xf numFmtId="4" fontId="38" fillId="2" borderId="73" xfId="0" applyNumberFormat="1" applyFont="1" applyFill="1" applyBorder="1" applyAlignment="1">
      <alignment horizontal="center" vertical="center"/>
    </xf>
    <xf numFmtId="165" fontId="38" fillId="2" borderId="73" xfId="0" applyNumberFormat="1" applyFont="1" applyFill="1" applyBorder="1" applyAlignment="1">
      <alignment horizontal="center" vertical="center"/>
    </xf>
    <xf numFmtId="0" fontId="37" fillId="2" borderId="73" xfId="0" applyFont="1" applyFill="1" applyBorder="1" applyAlignment="1">
      <alignment vertical="center"/>
    </xf>
    <xf numFmtId="0" fontId="38" fillId="2" borderId="73" xfId="0" applyFont="1" applyFill="1" applyBorder="1" applyAlignment="1">
      <alignment horizontal="center" vertical="center"/>
    </xf>
    <xf numFmtId="0" fontId="34" fillId="2" borderId="73" xfId="0" applyFont="1" applyFill="1" applyBorder="1" applyAlignment="1">
      <alignment horizontal="left" vertical="center"/>
    </xf>
    <xf numFmtId="4" fontId="11" fillId="2" borderId="74" xfId="0" applyNumberFormat="1" applyFont="1" applyFill="1" applyBorder="1" applyAlignment="1">
      <alignment horizontal="center" vertical="center"/>
    </xf>
    <xf numFmtId="4" fontId="39" fillId="2" borderId="7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38" fillId="2" borderId="0" xfId="0" applyFont="1" applyFill="1" applyAlignment="1">
      <alignment horizontal="center" vertical="center"/>
    </xf>
    <xf numFmtId="4" fontId="38" fillId="2" borderId="0" xfId="0" applyNumberFormat="1" applyFont="1" applyFill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6" xfId="0" applyFill="1" applyBorder="1" applyAlignment="1">
      <alignment vertical="center"/>
    </xf>
    <xf numFmtId="0" fontId="38" fillId="2" borderId="76" xfId="0" applyFont="1" applyFill="1" applyBorder="1" applyAlignment="1">
      <alignment horizontal="center" vertical="center"/>
    </xf>
    <xf numFmtId="4" fontId="38" fillId="2" borderId="76" xfId="0" applyNumberFormat="1" applyFont="1" applyFill="1" applyBorder="1" applyAlignment="1">
      <alignment horizontal="center" vertical="center"/>
    </xf>
    <xf numFmtId="0" fontId="28" fillId="33" borderId="27" xfId="0" applyFont="1" applyFill="1" applyBorder="1" applyAlignment="1">
      <alignment horizontal="center" vertical="center" wrapText="1"/>
    </xf>
    <xf numFmtId="0" fontId="28" fillId="15" borderId="39" xfId="0" applyFont="1" applyFill="1" applyBorder="1" applyAlignment="1">
      <alignment horizontal="center" vertical="center" wrapText="1"/>
    </xf>
    <xf numFmtId="0" fontId="28" fillId="25" borderId="26" xfId="0" applyFont="1" applyFill="1" applyBorder="1" applyAlignment="1">
      <alignment horizontal="center" vertical="center" wrapText="1"/>
    </xf>
    <xf numFmtId="0" fontId="28" fillId="33" borderId="47" xfId="0" applyFont="1" applyFill="1" applyBorder="1" applyAlignment="1">
      <alignment horizontal="center" vertical="center" wrapText="1"/>
    </xf>
    <xf numFmtId="0" fontId="28" fillId="27" borderId="52" xfId="0" applyFont="1" applyFill="1" applyBorder="1" applyAlignment="1">
      <alignment horizontal="center" vertical="center" wrapText="1"/>
    </xf>
    <xf numFmtId="0" fontId="28" fillId="27" borderId="27" xfId="0" applyFont="1" applyFill="1" applyBorder="1" applyAlignment="1">
      <alignment horizontal="center" vertical="center" wrapText="1"/>
    </xf>
    <xf numFmtId="0" fontId="26" fillId="15" borderId="79" xfId="0" applyFont="1" applyFill="1" applyBorder="1" applyAlignment="1">
      <alignment horizontal="center" vertical="center" wrapText="1"/>
    </xf>
    <xf numFmtId="0" fontId="26" fillId="25" borderId="79" xfId="0" applyFont="1" applyFill="1" applyBorder="1" applyAlignment="1">
      <alignment horizontal="center" vertical="center" wrapText="1"/>
    </xf>
    <xf numFmtId="10" fontId="12" fillId="0" borderId="21" xfId="0" applyNumberFormat="1" applyFont="1" applyBorder="1" applyAlignment="1">
      <alignment wrapText="1"/>
    </xf>
    <xf numFmtId="2" fontId="16" fillId="0" borderId="22" xfId="0" applyNumberFormat="1" applyFont="1" applyBorder="1"/>
    <xf numFmtId="2" fontId="16" fillId="0" borderId="10" xfId="0" applyNumberFormat="1" applyFont="1" applyBorder="1"/>
    <xf numFmtId="2" fontId="16" fillId="0" borderId="33" xfId="0" applyNumberFormat="1" applyFont="1" applyBorder="1"/>
    <xf numFmtId="170" fontId="14" fillId="33" borderId="2" xfId="1" applyFont="1" applyFill="1" applyBorder="1" applyAlignment="1">
      <alignment horizontal="center" vertical="center"/>
    </xf>
    <xf numFmtId="2" fontId="32" fillId="33" borderId="80" xfId="0" applyNumberFormat="1" applyFont="1" applyFill="1" applyBorder="1"/>
    <xf numFmtId="2" fontId="32" fillId="33" borderId="81" xfId="0" applyNumberFormat="1" applyFont="1" applyFill="1" applyBorder="1"/>
    <xf numFmtId="170" fontId="14" fillId="28" borderId="24" xfId="1" applyFont="1" applyFill="1" applyBorder="1" applyAlignment="1">
      <alignment horizontal="center" vertical="center"/>
    </xf>
    <xf numFmtId="2" fontId="14" fillId="29" borderId="58" xfId="1" applyNumberFormat="1" applyFont="1" applyFill="1" applyBorder="1" applyAlignment="1">
      <alignment horizontal="center" vertical="center"/>
    </xf>
    <xf numFmtId="2" fontId="30" fillId="33" borderId="82" xfId="0" applyNumberFormat="1" applyFont="1" applyFill="1" applyBorder="1"/>
    <xf numFmtId="2" fontId="32" fillId="33" borderId="83" xfId="0" applyNumberFormat="1" applyFont="1" applyFill="1" applyBorder="1"/>
    <xf numFmtId="170" fontId="14" fillId="28" borderId="44" xfId="1" applyFont="1" applyFill="1" applyBorder="1" applyAlignment="1">
      <alignment horizontal="center" vertical="center"/>
    </xf>
    <xf numFmtId="2" fontId="14" fillId="29" borderId="14" xfId="1" applyNumberFormat="1" applyFont="1" applyFill="1" applyBorder="1" applyAlignment="1">
      <alignment horizontal="center" vertical="center"/>
    </xf>
    <xf numFmtId="2" fontId="32" fillId="33" borderId="82" xfId="0" applyNumberFormat="1" applyFont="1" applyFill="1" applyBorder="1"/>
    <xf numFmtId="2" fontId="32" fillId="27" borderId="83" xfId="0" applyNumberFormat="1" applyFont="1" applyFill="1" applyBorder="1"/>
    <xf numFmtId="9" fontId="16" fillId="0" borderId="0" xfId="0" applyNumberFormat="1" applyFont="1" applyAlignment="1">
      <alignment horizontal="center" vertical="center"/>
    </xf>
    <xf numFmtId="2" fontId="30" fillId="33" borderId="83" xfId="0" applyNumberFormat="1" applyFont="1" applyFill="1" applyBorder="1"/>
    <xf numFmtId="170" fontId="14" fillId="28" borderId="46" xfId="1" applyFont="1" applyFill="1" applyBorder="1" applyAlignment="1">
      <alignment horizontal="center" vertical="center"/>
    </xf>
    <xf numFmtId="2" fontId="14" fillId="29" borderId="4" xfId="1" applyNumberFormat="1" applyFont="1" applyFill="1" applyBorder="1" applyAlignment="1">
      <alignment horizontal="center" vertical="center"/>
    </xf>
    <xf numFmtId="0" fontId="14" fillId="0" borderId="35" xfId="0" applyFont="1" applyBorder="1"/>
    <xf numFmtId="2" fontId="16" fillId="0" borderId="37" xfId="0" applyNumberFormat="1" applyFont="1" applyBorder="1"/>
    <xf numFmtId="2" fontId="16" fillId="0" borderId="12" xfId="0" applyNumberFormat="1" applyFont="1" applyBorder="1"/>
    <xf numFmtId="2" fontId="16" fillId="0" borderId="42" xfId="0" applyNumberFormat="1" applyFont="1" applyBorder="1"/>
    <xf numFmtId="0" fontId="40" fillId="19" borderId="39" xfId="0" applyFont="1" applyFill="1" applyBorder="1" applyAlignment="1">
      <alignment horizontal="center" vertical="center"/>
    </xf>
    <xf numFmtId="170" fontId="9" fillId="19" borderId="18" xfId="1" applyFont="1" applyFill="1" applyBorder="1" applyAlignment="1">
      <alignment horizontal="center" vertical="center"/>
    </xf>
    <xf numFmtId="170" fontId="9" fillId="19" borderId="19" xfId="1" applyFont="1" applyFill="1" applyBorder="1" applyAlignment="1">
      <alignment horizontal="center" vertical="center"/>
    </xf>
    <xf numFmtId="170" fontId="9" fillId="19" borderId="20" xfId="1" applyFont="1" applyFill="1" applyBorder="1" applyAlignment="1">
      <alignment horizontal="center" vertical="center"/>
    </xf>
    <xf numFmtId="170" fontId="12" fillId="33" borderId="40" xfId="1" applyFont="1" applyFill="1" applyBorder="1" applyAlignment="1">
      <alignment horizontal="center" vertical="center"/>
    </xf>
    <xf numFmtId="170" fontId="12" fillId="33" borderId="47" xfId="1" applyFont="1" applyFill="1" applyBorder="1" applyAlignment="1">
      <alignment vertical="center"/>
    </xf>
    <xf numFmtId="170" fontId="12" fillId="33" borderId="39" xfId="1" applyFont="1" applyFill="1" applyBorder="1" applyAlignment="1">
      <alignment vertical="center"/>
    </xf>
    <xf numFmtId="170" fontId="12" fillId="24" borderId="26" xfId="1" applyFont="1" applyFill="1" applyBorder="1" applyAlignment="1">
      <alignment vertical="center"/>
    </xf>
    <xf numFmtId="170" fontId="12" fillId="24" borderId="41" xfId="1" applyFont="1" applyFill="1" applyBorder="1" applyAlignment="1">
      <alignment vertical="center"/>
    </xf>
    <xf numFmtId="170" fontId="26" fillId="15" borderId="39" xfId="0" applyNumberFormat="1" applyFont="1" applyFill="1" applyBorder="1" applyAlignment="1">
      <alignment horizontal="center" vertical="center" wrapText="1"/>
    </xf>
    <xf numFmtId="170" fontId="26" fillId="25" borderId="26" xfId="0" applyNumberFormat="1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2" fontId="26" fillId="25" borderId="14" xfId="0" applyNumberFormat="1" applyFont="1" applyFill="1" applyBorder="1" applyAlignment="1">
      <alignment horizontal="center"/>
    </xf>
    <xf numFmtId="0" fontId="22" fillId="34" borderId="39" xfId="0" applyFont="1" applyFill="1" applyBorder="1" applyAlignment="1">
      <alignment horizontal="right"/>
    </xf>
    <xf numFmtId="2" fontId="26" fillId="34" borderId="0" xfId="0" applyNumberFormat="1" applyFont="1" applyFill="1" applyAlignment="1">
      <alignment horizontal="left"/>
    </xf>
    <xf numFmtId="0" fontId="22" fillId="24" borderId="79" xfId="0" applyFont="1" applyFill="1" applyBorder="1" applyAlignment="1">
      <alignment horizontal="right"/>
    </xf>
    <xf numFmtId="2" fontId="26" fillId="24" borderId="41" xfId="0" applyNumberFormat="1" applyFont="1" applyFill="1" applyBorder="1" applyAlignment="1">
      <alignment horizontal="left"/>
    </xf>
    <xf numFmtId="2" fontId="26" fillId="0" borderId="0" xfId="0" applyNumberFormat="1" applyFont="1" applyAlignment="1">
      <alignment horizontal="left"/>
    </xf>
    <xf numFmtId="2" fontId="26" fillId="25" borderId="69" xfId="0" applyNumberFormat="1" applyFont="1" applyFill="1" applyBorder="1" applyAlignment="1">
      <alignment horizontal="center"/>
    </xf>
    <xf numFmtId="2" fontId="26" fillId="25" borderId="43" xfId="0" applyNumberFormat="1" applyFont="1" applyFill="1" applyBorder="1" applyAlignment="1">
      <alignment horizontal="center"/>
    </xf>
    <xf numFmtId="2" fontId="26" fillId="25" borderId="3" xfId="0" applyNumberFormat="1" applyFont="1" applyFill="1" applyBorder="1" applyAlignment="1">
      <alignment horizontal="center"/>
    </xf>
    <xf numFmtId="2" fontId="26" fillId="25" borderId="57" xfId="0" applyNumberFormat="1" applyFont="1" applyFill="1" applyBorder="1" applyAlignment="1">
      <alignment horizontal="center"/>
    </xf>
    <xf numFmtId="2" fontId="26" fillId="25" borderId="34" xfId="0" applyNumberFormat="1" applyFont="1" applyFill="1" applyBorder="1" applyAlignment="1">
      <alignment horizontal="center"/>
    </xf>
    <xf numFmtId="2" fontId="42" fillId="0" borderId="39" xfId="0" applyNumberFormat="1" applyFont="1" applyBorder="1" applyAlignment="1">
      <alignment horizontal="right"/>
    </xf>
    <xf numFmtId="2" fontId="26" fillId="0" borderId="41" xfId="0" applyNumberFormat="1" applyFont="1" applyBorder="1" applyAlignment="1">
      <alignment horizontal="left"/>
    </xf>
    <xf numFmtId="0" fontId="22" fillId="0" borderId="0" xfId="0" applyFont="1"/>
    <xf numFmtId="2" fontId="26" fillId="14" borderId="22" xfId="0" applyNumberFormat="1" applyFont="1" applyFill="1" applyBorder="1" applyAlignment="1">
      <alignment horizontal="center"/>
    </xf>
    <xf numFmtId="176" fontId="26" fillId="14" borderId="22" xfId="0" applyNumberFormat="1" applyFont="1" applyFill="1" applyBorder="1" applyAlignment="1">
      <alignment horizontal="center"/>
    </xf>
    <xf numFmtId="176" fontId="26" fillId="14" borderId="7" xfId="0" applyNumberFormat="1" applyFont="1" applyFill="1" applyBorder="1" applyAlignment="1">
      <alignment horizontal="center"/>
    </xf>
    <xf numFmtId="177" fontId="26" fillId="14" borderId="7" xfId="0" applyNumberFormat="1" applyFont="1" applyFill="1" applyBorder="1" applyAlignment="1">
      <alignment horizontal="center"/>
    </xf>
    <xf numFmtId="177" fontId="26" fillId="14" borderId="23" xfId="0" applyNumberFormat="1" applyFont="1" applyFill="1" applyBorder="1" applyAlignment="1">
      <alignment horizontal="center"/>
    </xf>
    <xf numFmtId="2" fontId="26" fillId="14" borderId="43" xfId="0" applyNumberFormat="1" applyFont="1" applyFill="1" applyBorder="1" applyAlignment="1">
      <alignment horizontal="center"/>
    </xf>
    <xf numFmtId="176" fontId="26" fillId="14" borderId="43" xfId="0" applyNumberFormat="1" applyFont="1" applyFill="1" applyBorder="1" applyAlignment="1">
      <alignment horizontal="center"/>
    </xf>
    <xf numFmtId="176" fontId="26" fillId="14" borderId="3" xfId="0" applyNumberFormat="1" applyFont="1" applyFill="1" applyBorder="1" applyAlignment="1">
      <alignment horizontal="center"/>
    </xf>
    <xf numFmtId="177" fontId="26" fillId="14" borderId="3" xfId="0" applyNumberFormat="1" applyFont="1" applyFill="1" applyBorder="1" applyAlignment="1">
      <alignment horizontal="center"/>
    </xf>
    <xf numFmtId="177" fontId="26" fillId="14" borderId="57" xfId="0" applyNumberFormat="1" applyFont="1" applyFill="1" applyBorder="1" applyAlignment="1">
      <alignment horizontal="center"/>
    </xf>
    <xf numFmtId="0" fontId="9" fillId="32" borderId="53" xfId="0" applyFont="1" applyFill="1" applyBorder="1" applyAlignment="1" applyProtection="1">
      <alignment horizontal="center" vertical="center"/>
      <protection locked="0"/>
    </xf>
    <xf numFmtId="0" fontId="16" fillId="7" borderId="53" xfId="0" applyFont="1" applyFill="1" applyBorder="1" applyAlignment="1">
      <alignment horizontal="center" vertical="center" wrapText="1"/>
    </xf>
    <xf numFmtId="0" fontId="16" fillId="7" borderId="54" xfId="0" applyFont="1" applyFill="1" applyBorder="1" applyAlignment="1">
      <alignment horizontal="center" vertical="center" wrapText="1"/>
    </xf>
    <xf numFmtId="0" fontId="16" fillId="21" borderId="54" xfId="0" applyFont="1" applyFill="1" applyBorder="1" applyAlignment="1">
      <alignment horizontal="center" vertical="center" wrapText="1"/>
    </xf>
    <xf numFmtId="3" fontId="16" fillId="21" borderId="54" xfId="0" applyNumberFormat="1" applyFont="1" applyFill="1" applyBorder="1" applyAlignment="1">
      <alignment horizontal="center" vertical="center" wrapText="1"/>
    </xf>
    <xf numFmtId="0" fontId="14" fillId="22" borderId="54" xfId="0" applyFont="1" applyFill="1" applyBorder="1" applyAlignment="1">
      <alignment horizontal="center" vertical="center" wrapText="1"/>
    </xf>
    <xf numFmtId="0" fontId="16" fillId="22" borderId="63" xfId="0" applyFont="1" applyFill="1" applyBorder="1" applyAlignment="1">
      <alignment horizontal="center" vertical="center" wrapText="1"/>
    </xf>
    <xf numFmtId="0" fontId="10" fillId="0" borderId="0" xfId="0" applyFont="1"/>
    <xf numFmtId="0" fontId="16" fillId="7" borderId="54" xfId="0" applyFont="1" applyFill="1" applyBorder="1" applyAlignment="1">
      <alignment horizontal="center" wrapText="1"/>
    </xf>
    <xf numFmtId="0" fontId="16" fillId="7" borderId="87" xfId="0" applyFont="1" applyFill="1" applyBorder="1" applyAlignment="1">
      <alignment horizontal="center" wrapText="1"/>
    </xf>
    <xf numFmtId="0" fontId="16" fillId="21" borderId="87" xfId="0" applyFont="1" applyFill="1" applyBorder="1" applyAlignment="1">
      <alignment horizontal="center" wrapText="1"/>
    </xf>
    <xf numFmtId="3" fontId="16" fillId="21" borderId="87" xfId="0" applyNumberFormat="1" applyFont="1" applyFill="1" applyBorder="1" applyAlignment="1">
      <alignment horizontal="center" wrapText="1"/>
    </xf>
    <xf numFmtId="0" fontId="14" fillId="22" borderId="87" xfId="0" applyFont="1" applyFill="1" applyBorder="1" applyAlignment="1">
      <alignment horizontal="center" wrapText="1"/>
    </xf>
    <xf numFmtId="0" fontId="16" fillId="22" borderId="61" xfId="0" applyFont="1" applyFill="1" applyBorder="1" applyAlignment="1">
      <alignment horizontal="center" wrapText="1"/>
    </xf>
    <xf numFmtId="0" fontId="43" fillId="5" borderId="35" xfId="0" applyFont="1" applyFill="1" applyBorder="1" applyAlignment="1">
      <alignment vertical="center"/>
    </xf>
    <xf numFmtId="0" fontId="43" fillId="5" borderId="0" xfId="0" applyFont="1" applyFill="1" applyAlignment="1">
      <alignment vertical="center"/>
    </xf>
    <xf numFmtId="0" fontId="6" fillId="35" borderId="88" xfId="0" applyFont="1" applyFill="1" applyBorder="1" applyAlignment="1">
      <alignment horizontal="center"/>
    </xf>
    <xf numFmtId="0" fontId="6" fillId="35" borderId="68" xfId="0" applyFont="1" applyFill="1" applyBorder="1" applyAlignment="1">
      <alignment horizontal="center"/>
    </xf>
    <xf numFmtId="167" fontId="6" fillId="35" borderId="24" xfId="0" applyNumberFormat="1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vertical="center"/>
    </xf>
    <xf numFmtId="0" fontId="6" fillId="5" borderId="0" xfId="0" applyFont="1" applyFill="1" applyAlignment="1">
      <alignment horizontal="right" vertical="center"/>
    </xf>
    <xf numFmtId="4" fontId="3" fillId="35" borderId="22" xfId="0" applyNumberFormat="1" applyFont="1" applyFill="1" applyBorder="1" applyAlignment="1">
      <alignment horizontal="center"/>
    </xf>
    <xf numFmtId="4" fontId="3" fillId="35" borderId="21" xfId="0" applyNumberFormat="1" applyFont="1" applyFill="1" applyBorder="1" applyAlignment="1">
      <alignment horizontal="center"/>
    </xf>
    <xf numFmtId="178" fontId="3" fillId="35" borderId="44" xfId="1" applyNumberFormat="1" applyFont="1" applyFill="1" applyBorder="1" applyAlignment="1">
      <alignment horizontal="center" vertical="center"/>
    </xf>
    <xf numFmtId="167" fontId="3" fillId="35" borderId="22" xfId="0" applyNumberFormat="1" applyFont="1" applyFill="1" applyBorder="1" applyAlignment="1">
      <alignment horizontal="center"/>
    </xf>
    <xf numFmtId="167" fontId="3" fillId="35" borderId="21" xfId="0" applyNumberFormat="1" applyFont="1" applyFill="1" applyBorder="1" applyAlignment="1">
      <alignment horizontal="center"/>
    </xf>
    <xf numFmtId="167" fontId="3" fillId="35" borderId="44" xfId="0" applyNumberFormat="1" applyFont="1" applyFill="1" applyBorder="1" applyAlignment="1">
      <alignment horizontal="center" vertical="center"/>
    </xf>
    <xf numFmtId="0" fontId="3" fillId="35" borderId="22" xfId="0" applyFont="1" applyFill="1" applyBorder="1" applyAlignment="1">
      <alignment horizontal="center"/>
    </xf>
    <xf numFmtId="0" fontId="3" fillId="35" borderId="21" xfId="0" applyFont="1" applyFill="1" applyBorder="1" applyAlignment="1">
      <alignment horizontal="center"/>
    </xf>
    <xf numFmtId="167" fontId="3" fillId="35" borderId="50" xfId="0" applyNumberFormat="1" applyFont="1" applyFill="1" applyBorder="1" applyAlignment="1">
      <alignment horizontal="center" vertical="center"/>
    </xf>
    <xf numFmtId="0" fontId="41" fillId="5" borderId="88" xfId="0" applyFont="1" applyFill="1" applyBorder="1" applyAlignment="1">
      <alignment horizontal="center" vertical="center"/>
    </xf>
    <xf numFmtId="0" fontId="41" fillId="36" borderId="67" xfId="0" applyFont="1" applyFill="1" applyBorder="1" applyAlignment="1">
      <alignment horizontal="center" vertical="center" wrapText="1"/>
    </xf>
    <xf numFmtId="0" fontId="41" fillId="36" borderId="55" xfId="0" applyFont="1" applyFill="1" applyBorder="1" applyAlignment="1">
      <alignment horizontal="center" vertical="center" wrapText="1"/>
    </xf>
    <xf numFmtId="0" fontId="41" fillId="37" borderId="44" xfId="0" applyFont="1" applyFill="1" applyBorder="1" applyAlignment="1">
      <alignment vertical="center" wrapText="1"/>
    </xf>
    <xf numFmtId="0" fontId="41" fillId="38" borderId="43" xfId="0" applyFont="1" applyFill="1" applyBorder="1" applyAlignment="1">
      <alignment vertical="center" wrapText="1"/>
    </xf>
    <xf numFmtId="171" fontId="41" fillId="38" borderId="3" xfId="1" applyNumberFormat="1" applyFont="1" applyFill="1" applyBorder="1" applyAlignment="1">
      <alignment horizontal="center" vertical="center"/>
    </xf>
    <xf numFmtId="171" fontId="41" fillId="38" borderId="57" xfId="1" applyNumberFormat="1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vertical="center" wrapText="1"/>
    </xf>
    <xf numFmtId="166" fontId="44" fillId="5" borderId="3" xfId="2" applyNumberFormat="1" applyFont="1" applyFill="1" applyBorder="1" applyAlignment="1" applyProtection="1">
      <alignment vertical="center"/>
    </xf>
    <xf numFmtId="171" fontId="41" fillId="5" borderId="3" xfId="1" applyNumberFormat="1" applyFont="1" applyFill="1" applyBorder="1"/>
    <xf numFmtId="171" fontId="41" fillId="5" borderId="6" xfId="1" applyNumberFormat="1" applyFont="1" applyFill="1" applyBorder="1"/>
    <xf numFmtId="171" fontId="41" fillId="5" borderId="57" xfId="1" applyNumberFormat="1" applyFont="1" applyFill="1" applyBorder="1"/>
    <xf numFmtId="10" fontId="44" fillId="5" borderId="3" xfId="2" applyNumberFormat="1" applyFont="1" applyFill="1" applyBorder="1" applyAlignment="1" applyProtection="1">
      <alignment vertical="center"/>
    </xf>
    <xf numFmtId="171" fontId="45" fillId="5" borderId="3" xfId="2" applyNumberFormat="1" applyFont="1" applyFill="1" applyBorder="1" applyAlignment="1" applyProtection="1">
      <alignment vertical="center"/>
    </xf>
    <xf numFmtId="0" fontId="12" fillId="9" borderId="43" xfId="0" applyFont="1" applyFill="1" applyBorder="1" applyAlignment="1">
      <alignment horizontal="right" vertical="center"/>
    </xf>
    <xf numFmtId="9" fontId="12" fillId="9" borderId="3" xfId="0" applyNumberFormat="1" applyFont="1" applyFill="1" applyBorder="1" applyAlignment="1">
      <alignment horizontal="center" vertical="center"/>
    </xf>
    <xf numFmtId="2" fontId="12" fillId="9" borderId="3" xfId="0" applyNumberFormat="1" applyFont="1" applyFill="1" applyBorder="1" applyAlignment="1">
      <alignment horizontal="right" vertical="center"/>
    </xf>
    <xf numFmtId="2" fontId="12" fillId="9" borderId="57" xfId="0" applyNumberFormat="1" applyFont="1" applyFill="1" applyBorder="1" applyAlignment="1">
      <alignment horizontal="right" vertical="center"/>
    </xf>
    <xf numFmtId="0" fontId="10" fillId="5" borderId="4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57" xfId="0" applyFont="1" applyFill="1" applyBorder="1" applyAlignment="1">
      <alignment horizontal="center" vertical="center"/>
    </xf>
    <xf numFmtId="0" fontId="12" fillId="3" borderId="43" xfId="0" applyFont="1" applyFill="1" applyBorder="1" applyAlignment="1">
      <alignment vertical="center"/>
    </xf>
    <xf numFmtId="171" fontId="41" fillId="39" borderId="3" xfId="1" applyNumberFormat="1" applyFont="1" applyFill="1" applyBorder="1" applyAlignment="1">
      <alignment horizontal="center" vertical="center"/>
    </xf>
    <xf numFmtId="171" fontId="41" fillId="39" borderId="57" xfId="1" applyNumberFormat="1" applyFont="1" applyFill="1" applyBorder="1" applyAlignment="1">
      <alignment horizontal="center" vertical="center"/>
    </xf>
    <xf numFmtId="0" fontId="14" fillId="0" borderId="43" xfId="0" applyFont="1" applyBorder="1" applyAlignment="1">
      <alignment vertical="center"/>
    </xf>
    <xf numFmtId="10" fontId="12" fillId="9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vertical="center"/>
    </xf>
    <xf numFmtId="0" fontId="12" fillId="3" borderId="57" xfId="0" applyFont="1" applyFill="1" applyBorder="1" applyAlignment="1">
      <alignment vertical="center"/>
    </xf>
    <xf numFmtId="171" fontId="41" fillId="5" borderId="3" xfId="1" applyNumberFormat="1" applyFont="1" applyFill="1" applyBorder="1" applyAlignment="1">
      <alignment vertical="center"/>
    </xf>
    <xf numFmtId="171" fontId="41" fillId="5" borderId="57" xfId="1" applyNumberFormat="1" applyFont="1" applyFill="1" applyBorder="1" applyAlignment="1">
      <alignment vertical="center"/>
    </xf>
    <xf numFmtId="179" fontId="44" fillId="5" borderId="3" xfId="2" applyNumberFormat="1" applyFont="1" applyFill="1" applyBorder="1" applyAlignment="1" applyProtection="1">
      <alignment horizontal="right" vertical="center"/>
    </xf>
    <xf numFmtId="179" fontId="44" fillId="5" borderId="3" xfId="2" applyNumberFormat="1" applyFont="1" applyFill="1" applyBorder="1" applyAlignment="1" applyProtection="1">
      <alignment vertical="center"/>
    </xf>
    <xf numFmtId="165" fontId="44" fillId="5" borderId="3" xfId="2" applyNumberFormat="1" applyFont="1" applyFill="1" applyBorder="1" applyAlignment="1" applyProtection="1">
      <alignment vertical="center"/>
    </xf>
    <xf numFmtId="10" fontId="14" fillId="0" borderId="3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vertical="center"/>
    </xf>
    <xf numFmtId="4" fontId="14" fillId="0" borderId="57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0" fontId="12" fillId="3" borderId="3" xfId="0" applyFont="1" applyFill="1" applyBorder="1" applyAlignment="1">
      <alignment horizontal="center" vertical="center"/>
    </xf>
    <xf numFmtId="0" fontId="12" fillId="3" borderId="57" xfId="0" applyFont="1" applyFill="1" applyBorder="1" applyAlignment="1">
      <alignment horizontal="center" vertical="center"/>
    </xf>
    <xf numFmtId="2" fontId="14" fillId="0" borderId="3" xfId="0" applyNumberFormat="1" applyFont="1" applyBorder="1" applyAlignment="1">
      <alignment horizontal="right" vertical="center"/>
    </xf>
    <xf numFmtId="4" fontId="12" fillId="9" borderId="3" xfId="0" applyNumberFormat="1" applyFont="1" applyFill="1" applyBorder="1" applyAlignment="1">
      <alignment horizontal="right" vertical="center"/>
    </xf>
    <xf numFmtId="4" fontId="12" fillId="9" borderId="57" xfId="0" applyNumberFormat="1" applyFont="1" applyFill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57" xfId="0" applyNumberFormat="1" applyFont="1" applyBorder="1" applyAlignment="1">
      <alignment horizontal="right" vertical="center"/>
    </xf>
    <xf numFmtId="10" fontId="44" fillId="5" borderId="3" xfId="2" applyNumberFormat="1" applyFont="1" applyFill="1" applyBorder="1" applyAlignment="1" applyProtection="1">
      <alignment vertical="center"/>
      <protection locked="0"/>
    </xf>
    <xf numFmtId="0" fontId="41" fillId="40" borderId="43" xfId="0" applyFont="1" applyFill="1" applyBorder="1" applyAlignment="1">
      <alignment horizontal="right" vertical="center" wrapText="1"/>
    </xf>
    <xf numFmtId="10" fontId="41" fillId="40" borderId="3" xfId="0" applyNumberFormat="1" applyFont="1" applyFill="1" applyBorder="1" applyAlignment="1">
      <alignment horizontal="right" vertical="center" wrapText="1"/>
    </xf>
    <xf numFmtId="171" fontId="41" fillId="40" borderId="3" xfId="0" applyNumberFormat="1" applyFont="1" applyFill="1" applyBorder="1" applyAlignment="1">
      <alignment vertical="center"/>
    </xf>
    <xf numFmtId="171" fontId="41" fillId="40" borderId="57" xfId="0" applyNumberFormat="1" applyFont="1" applyFill="1" applyBorder="1" applyAlignment="1">
      <alignment vertical="center"/>
    </xf>
    <xf numFmtId="0" fontId="41" fillId="37" borderId="84" xfId="0" applyFont="1" applyFill="1" applyBorder="1" applyAlignment="1">
      <alignment vertical="center" wrapText="1"/>
    </xf>
    <xf numFmtId="0" fontId="41" fillId="37" borderId="4" xfId="0" applyFont="1" applyFill="1" applyBorder="1" applyAlignment="1">
      <alignment vertical="center" wrapText="1"/>
    </xf>
    <xf numFmtId="0" fontId="41" fillId="37" borderId="38" xfId="0" applyFont="1" applyFill="1" applyBorder="1" applyAlignment="1">
      <alignment vertical="center" wrapText="1"/>
    </xf>
    <xf numFmtId="173" fontId="44" fillId="5" borderId="3" xfId="2" applyNumberFormat="1" applyFont="1" applyFill="1" applyBorder="1" applyProtection="1"/>
    <xf numFmtId="0" fontId="14" fillId="0" borderId="43" xfId="0" applyFont="1" applyBorder="1" applyAlignment="1">
      <alignment wrapText="1"/>
    </xf>
    <xf numFmtId="173" fontId="44" fillId="5" borderId="3" xfId="2" applyNumberFormat="1" applyFont="1" applyFill="1" applyBorder="1" applyAlignment="1" applyProtection="1">
      <alignment vertical="center"/>
    </xf>
    <xf numFmtId="0" fontId="45" fillId="40" borderId="3" xfId="0" applyFont="1" applyFill="1" applyBorder="1" applyAlignment="1">
      <alignment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60" xfId="0" applyFont="1" applyFill="1" applyBorder="1" applyAlignment="1">
      <alignment horizontal="center" vertical="center"/>
    </xf>
    <xf numFmtId="0" fontId="41" fillId="41" borderId="43" xfId="0" applyFont="1" applyFill="1" applyBorder="1" applyAlignment="1">
      <alignment vertical="center" wrapText="1"/>
    </xf>
    <xf numFmtId="10" fontId="44" fillId="41" borderId="3" xfId="2" applyNumberFormat="1" applyFont="1" applyFill="1" applyBorder="1" applyAlignment="1" applyProtection="1">
      <alignment vertical="center"/>
    </xf>
    <xf numFmtId="171" fontId="41" fillId="41" borderId="3" xfId="1" applyNumberFormat="1" applyFont="1" applyFill="1" applyBorder="1" applyAlignment="1">
      <alignment horizontal="left" vertical="center"/>
    </xf>
    <xf numFmtId="171" fontId="10" fillId="0" borderId="3" xfId="1" applyNumberFormat="1" applyFont="1" applyBorder="1" applyAlignment="1">
      <alignment vertical="center"/>
    </xf>
    <xf numFmtId="171" fontId="10" fillId="0" borderId="11" xfId="1" applyNumberFormat="1" applyFont="1" applyBorder="1" applyAlignment="1">
      <alignment vertical="center"/>
    </xf>
    <xf numFmtId="4" fontId="10" fillId="0" borderId="0" xfId="0" applyNumberFormat="1" applyFont="1"/>
    <xf numFmtId="10" fontId="44" fillId="5" borderId="11" xfId="2" applyNumberFormat="1" applyFont="1" applyFill="1" applyBorder="1" applyAlignment="1" applyProtection="1">
      <alignment vertical="center"/>
    </xf>
    <xf numFmtId="10" fontId="44" fillId="42" borderId="68" xfId="2" applyNumberFormat="1" applyFont="1" applyFill="1" applyBorder="1" applyAlignment="1" applyProtection="1">
      <alignment vertical="center"/>
    </xf>
    <xf numFmtId="171" fontId="41" fillId="42" borderId="67" xfId="1" applyNumberFormat="1" applyFont="1" applyFill="1" applyBorder="1" applyAlignment="1">
      <alignment vertical="center"/>
    </xf>
    <xf numFmtId="10" fontId="44" fillId="42" borderId="69" xfId="2" applyNumberFormat="1" applyFont="1" applyFill="1" applyBorder="1" applyAlignment="1" applyProtection="1">
      <alignment vertical="center"/>
    </xf>
    <xf numFmtId="171" fontId="41" fillId="42" borderId="3" xfId="1" applyNumberFormat="1" applyFont="1" applyFill="1" applyBorder="1" applyAlignment="1">
      <alignment vertical="center"/>
    </xf>
    <xf numFmtId="10" fontId="44" fillId="42" borderId="86" xfId="2" applyNumberFormat="1" applyFont="1" applyFill="1" applyBorder="1" applyAlignment="1" applyProtection="1">
      <alignment vertical="center"/>
    </xf>
    <xf numFmtId="171" fontId="41" fillId="42" borderId="54" xfId="1" applyNumberFormat="1" applyFont="1" applyFill="1" applyBorder="1" applyAlignment="1">
      <alignment vertical="center"/>
    </xf>
    <xf numFmtId="0" fontId="44" fillId="5" borderId="7" xfId="2" applyNumberFormat="1" applyFont="1" applyFill="1" applyBorder="1" applyAlignment="1" applyProtection="1">
      <alignment vertical="center"/>
    </xf>
    <xf numFmtId="171" fontId="10" fillId="5" borderId="7" xfId="1" applyNumberFormat="1" applyFont="1" applyFill="1" applyBorder="1" applyAlignment="1">
      <alignment vertical="center"/>
    </xf>
    <xf numFmtId="171" fontId="10" fillId="5" borderId="23" xfId="1" applyNumberFormat="1" applyFont="1" applyFill="1" applyBorder="1" applyAlignment="1">
      <alignment vertical="center"/>
    </xf>
    <xf numFmtId="0" fontId="41" fillId="40" borderId="53" xfId="0" applyFont="1" applyFill="1" applyBorder="1" applyAlignment="1">
      <alignment horizontal="right" vertical="center" wrapText="1"/>
    </xf>
    <xf numFmtId="10" fontId="41" fillId="40" borderId="54" xfId="0" applyNumberFormat="1" applyFont="1" applyFill="1" applyBorder="1" applyAlignment="1">
      <alignment horizontal="right" vertical="center" wrapText="1"/>
    </xf>
    <xf numFmtId="171" fontId="41" fillId="40" borderId="54" xfId="0" applyNumberFormat="1" applyFont="1" applyFill="1" applyBorder="1" applyAlignment="1">
      <alignment vertical="center"/>
    </xf>
    <xf numFmtId="171" fontId="41" fillId="40" borderId="63" xfId="0" applyNumberFormat="1" applyFont="1" applyFill="1" applyBorder="1" applyAlignment="1">
      <alignment vertical="center"/>
    </xf>
    <xf numFmtId="0" fontId="41" fillId="43" borderId="67" xfId="0" applyFont="1" applyFill="1" applyBorder="1" applyAlignment="1">
      <alignment horizontal="center" vertical="center" wrapText="1"/>
    </xf>
    <xf numFmtId="0" fontId="41" fillId="43" borderId="55" xfId="0" applyFont="1" applyFill="1" applyBorder="1" applyAlignment="1">
      <alignment horizontal="center" vertical="center" wrapText="1"/>
    </xf>
    <xf numFmtId="171" fontId="41" fillId="44" borderId="11" xfId="1" applyNumberFormat="1" applyFont="1" applyFill="1" applyBorder="1" applyAlignment="1">
      <alignment horizontal="center" vertical="center"/>
    </xf>
    <xf numFmtId="171" fontId="41" fillId="44" borderId="60" xfId="1" applyNumberFormat="1" applyFont="1" applyFill="1" applyBorder="1" applyAlignment="1">
      <alignment horizontal="center" vertical="center"/>
    </xf>
    <xf numFmtId="171" fontId="41" fillId="5" borderId="67" xfId="0" applyNumberFormat="1" applyFont="1" applyFill="1" applyBorder="1" applyAlignment="1">
      <alignment vertical="center"/>
    </xf>
    <xf numFmtId="171" fontId="41" fillId="5" borderId="55" xfId="0" applyNumberFormat="1" applyFont="1" applyFill="1" applyBorder="1" applyAlignment="1">
      <alignment vertical="center"/>
    </xf>
    <xf numFmtId="171" fontId="41" fillId="5" borderId="3" xfId="0" applyNumberFormat="1" applyFont="1" applyFill="1" applyBorder="1" applyAlignment="1">
      <alignment vertical="center"/>
    </xf>
    <xf numFmtId="171" fontId="41" fillId="5" borderId="57" xfId="0" applyNumberFormat="1" applyFont="1" applyFill="1" applyBorder="1" applyAlignment="1">
      <alignment vertical="center"/>
    </xf>
    <xf numFmtId="171" fontId="46" fillId="5" borderId="3" xfId="0" applyNumberFormat="1" applyFont="1" applyFill="1" applyBorder="1" applyAlignment="1">
      <alignment vertical="center"/>
    </xf>
    <xf numFmtId="171" fontId="46" fillId="5" borderId="57" xfId="0" applyNumberFormat="1" applyFont="1" applyFill="1" applyBorder="1" applyAlignment="1">
      <alignment vertical="center"/>
    </xf>
    <xf numFmtId="171" fontId="46" fillId="5" borderId="11" xfId="0" applyNumberFormat="1" applyFont="1" applyFill="1" applyBorder="1" applyAlignment="1">
      <alignment vertical="center"/>
    </xf>
    <xf numFmtId="171" fontId="46" fillId="5" borderId="60" xfId="0" applyNumberFormat="1" applyFont="1" applyFill="1" applyBorder="1" applyAlignment="1">
      <alignment vertical="center"/>
    </xf>
    <xf numFmtId="171" fontId="46" fillId="5" borderId="15" xfId="0" applyNumberFormat="1" applyFont="1" applyFill="1" applyBorder="1" applyAlignment="1">
      <alignment vertical="center"/>
    </xf>
    <xf numFmtId="171" fontId="46" fillId="5" borderId="38" xfId="0" applyNumberFormat="1" applyFont="1" applyFill="1" applyBorder="1" applyAlignment="1">
      <alignment vertical="center"/>
    </xf>
    <xf numFmtId="0" fontId="41" fillId="16" borderId="47" xfId="0" applyFont="1" applyFill="1" applyBorder="1" applyAlignment="1">
      <alignment vertical="center" wrapText="1"/>
    </xf>
    <xf numFmtId="0" fontId="41" fillId="16" borderId="52" xfId="0" applyFont="1" applyFill="1" applyBorder="1" applyAlignment="1">
      <alignment vertical="center" wrapText="1"/>
    </xf>
    <xf numFmtId="180" fontId="41" fillId="16" borderId="52" xfId="0" applyNumberFormat="1" applyFont="1" applyFill="1" applyBorder="1" applyAlignment="1">
      <alignment horizontal="right" vertical="center" wrapText="1"/>
    </xf>
    <xf numFmtId="180" fontId="41" fillId="16" borderId="48" xfId="0" applyNumberFormat="1" applyFont="1" applyFill="1" applyBorder="1" applyAlignment="1">
      <alignment horizontal="right" vertical="center" wrapText="1"/>
    </xf>
    <xf numFmtId="0" fontId="41" fillId="16" borderId="35" xfId="0" applyFont="1" applyFill="1" applyBorder="1" applyAlignment="1">
      <alignment vertical="center" wrapText="1"/>
    </xf>
    <xf numFmtId="0" fontId="41" fillId="16" borderId="0" xfId="0" applyFont="1" applyFill="1" applyAlignment="1">
      <alignment vertical="center" wrapText="1"/>
    </xf>
    <xf numFmtId="180" fontId="41" fillId="16" borderId="0" xfId="0" applyNumberFormat="1" applyFont="1" applyFill="1" applyAlignment="1">
      <alignment horizontal="right" vertical="center" wrapText="1"/>
    </xf>
    <xf numFmtId="180" fontId="41" fillId="16" borderId="42" xfId="0" applyNumberFormat="1" applyFont="1" applyFill="1" applyBorder="1" applyAlignment="1">
      <alignment horizontal="right" vertical="center" wrapText="1"/>
    </xf>
    <xf numFmtId="0" fontId="41" fillId="20" borderId="47" xfId="0" applyFont="1" applyFill="1" applyBorder="1" applyAlignment="1">
      <alignment vertical="center" wrapText="1"/>
    </xf>
    <xf numFmtId="0" fontId="41" fillId="20" borderId="52" xfId="0" applyFont="1" applyFill="1" applyBorder="1" applyAlignment="1">
      <alignment vertical="center" wrapText="1"/>
    </xf>
    <xf numFmtId="180" fontId="26" fillId="20" borderId="52" xfId="0" applyNumberFormat="1" applyFont="1" applyFill="1" applyBorder="1" applyAlignment="1">
      <alignment horizontal="right" vertical="center" wrapText="1"/>
    </xf>
    <xf numFmtId="0" fontId="41" fillId="20" borderId="35" xfId="0" applyFont="1" applyFill="1" applyBorder="1" applyAlignment="1">
      <alignment vertical="center" wrapText="1"/>
    </xf>
    <xf numFmtId="0" fontId="41" fillId="20" borderId="0" xfId="0" applyFont="1" applyFill="1" applyAlignment="1">
      <alignment vertical="center" wrapText="1"/>
    </xf>
    <xf numFmtId="180" fontId="26" fillId="20" borderId="0" xfId="0" applyNumberFormat="1" applyFont="1" applyFill="1" applyAlignment="1">
      <alignment horizontal="right" vertical="center" wrapText="1"/>
    </xf>
    <xf numFmtId="0" fontId="41" fillId="20" borderId="79" xfId="0" applyFont="1" applyFill="1" applyBorder="1" applyAlignment="1">
      <alignment vertical="center" wrapText="1"/>
    </xf>
    <xf numFmtId="0" fontId="41" fillId="20" borderId="1" xfId="0" applyFont="1" applyFill="1" applyBorder="1" applyAlignment="1">
      <alignment vertical="center" wrapText="1"/>
    </xf>
    <xf numFmtId="180" fontId="26" fillId="20" borderId="1" xfId="0" applyNumberFormat="1" applyFont="1" applyFill="1" applyBorder="1" applyAlignment="1">
      <alignment horizontal="right" vertical="center" wrapText="1"/>
    </xf>
    <xf numFmtId="0" fontId="10" fillId="0" borderId="35" xfId="0" applyFont="1" applyBorder="1"/>
    <xf numFmtId="0" fontId="41" fillId="45" borderId="3" xfId="0" applyFont="1" applyFill="1" applyBorder="1" applyAlignment="1">
      <alignment horizontal="center" vertical="center"/>
    </xf>
    <xf numFmtId="0" fontId="41" fillId="45" borderId="3" xfId="0" applyFont="1" applyFill="1" applyBorder="1" applyAlignment="1">
      <alignment horizontal="center" vertical="center" wrapText="1"/>
    </xf>
    <xf numFmtId="0" fontId="10" fillId="45" borderId="3" xfId="0" applyFont="1" applyFill="1" applyBorder="1"/>
    <xf numFmtId="181" fontId="10" fillId="45" borderId="3" xfId="0" applyNumberFormat="1" applyFont="1" applyFill="1" applyBorder="1"/>
    <xf numFmtId="171" fontId="10" fillId="45" borderId="3" xfId="0" applyNumberFormat="1" applyFont="1" applyFill="1" applyBorder="1"/>
    <xf numFmtId="0" fontId="47" fillId="7" borderId="3" xfId="0" applyFont="1" applyFill="1" applyBorder="1" applyAlignment="1">
      <alignment horizontal="right"/>
    </xf>
    <xf numFmtId="181" fontId="47" fillId="7" borderId="3" xfId="0" applyNumberFormat="1" applyFont="1" applyFill="1" applyBorder="1"/>
    <xf numFmtId="171" fontId="47" fillId="7" borderId="3" xfId="0" applyNumberFormat="1" applyFont="1" applyFill="1" applyBorder="1"/>
    <xf numFmtId="173" fontId="10" fillId="0" borderId="35" xfId="0" applyNumberFormat="1" applyFont="1" applyBorder="1"/>
    <xf numFmtId="173" fontId="10" fillId="0" borderId="0" xfId="0" applyNumberFormat="1" applyFont="1"/>
    <xf numFmtId="0" fontId="10" fillId="5" borderId="35" xfId="0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182" fontId="10" fillId="5" borderId="0" xfId="0" applyNumberFormat="1" applyFont="1" applyFill="1" applyAlignment="1">
      <alignment vertical="center"/>
    </xf>
    <xf numFmtId="183" fontId="10" fillId="45" borderId="3" xfId="0" applyNumberFormat="1" applyFont="1" applyFill="1" applyBorder="1"/>
    <xf numFmtId="4" fontId="10" fillId="45" borderId="3" xfId="0" applyNumberFormat="1" applyFont="1" applyFill="1" applyBorder="1"/>
    <xf numFmtId="0" fontId="10" fillId="5" borderId="0" xfId="0" applyFont="1" applyFill="1"/>
    <xf numFmtId="0" fontId="0" fillId="5" borderId="0" xfId="0" applyFill="1"/>
    <xf numFmtId="0" fontId="47" fillId="21" borderId="3" xfId="0" applyFont="1" applyFill="1" applyBorder="1" applyAlignment="1">
      <alignment horizontal="right"/>
    </xf>
    <xf numFmtId="181" fontId="10" fillId="21" borderId="3" xfId="0" applyNumberFormat="1" applyFont="1" applyFill="1" applyBorder="1"/>
    <xf numFmtId="4" fontId="10" fillId="21" borderId="3" xfId="0" applyNumberFormat="1" applyFont="1" applyFill="1" applyBorder="1"/>
    <xf numFmtId="171" fontId="47" fillId="21" borderId="3" xfId="0" applyNumberFormat="1" applyFont="1" applyFill="1" applyBorder="1"/>
    <xf numFmtId="183" fontId="10" fillId="21" borderId="3" xfId="0" applyNumberFormat="1" applyFont="1" applyFill="1" applyBorder="1"/>
    <xf numFmtId="0" fontId="14" fillId="45" borderId="3" xfId="0" applyFont="1" applyFill="1" applyBorder="1"/>
    <xf numFmtId="0" fontId="48" fillId="22" borderId="3" xfId="0" applyFont="1" applyFill="1" applyBorder="1" applyAlignment="1">
      <alignment horizontal="right" vertical="center" wrapText="1"/>
    </xf>
    <xf numFmtId="184" fontId="10" fillId="22" borderId="3" xfId="0" applyNumberFormat="1" applyFont="1" applyFill="1" applyBorder="1"/>
    <xf numFmtId="4" fontId="10" fillId="22" borderId="3" xfId="0" applyNumberFormat="1" applyFont="1" applyFill="1" applyBorder="1"/>
    <xf numFmtId="171" fontId="47" fillId="22" borderId="3" xfId="0" applyNumberFormat="1" applyFont="1" applyFill="1" applyBorder="1"/>
    <xf numFmtId="167" fontId="6" fillId="35" borderId="88" xfId="0" applyNumberFormat="1" applyFont="1" applyFill="1" applyBorder="1" applyAlignment="1">
      <alignment horizontal="center" vertical="center"/>
    </xf>
    <xf numFmtId="178" fontId="3" fillId="35" borderId="43" xfId="1" applyNumberFormat="1" applyFont="1" applyFill="1" applyBorder="1" applyAlignment="1">
      <alignment horizontal="center" vertical="center"/>
    </xf>
    <xf numFmtId="167" fontId="3" fillId="35" borderId="43" xfId="0" applyNumberFormat="1" applyFont="1" applyFill="1" applyBorder="1" applyAlignment="1">
      <alignment horizontal="center" vertical="center"/>
    </xf>
    <xf numFmtId="167" fontId="3" fillId="35" borderId="53" xfId="0" applyNumberFormat="1" applyFont="1" applyFill="1" applyBorder="1" applyAlignment="1">
      <alignment horizontal="center" vertical="center"/>
    </xf>
    <xf numFmtId="10" fontId="45" fillId="5" borderId="3" xfId="0" applyNumberFormat="1" applyFont="1" applyFill="1" applyBorder="1" applyAlignment="1">
      <alignment vertical="center"/>
    </xf>
    <xf numFmtId="2" fontId="14" fillId="0" borderId="57" xfId="0" applyNumberFormat="1" applyFont="1" applyBorder="1" applyAlignment="1">
      <alignment horizontal="right" vertical="center"/>
    </xf>
    <xf numFmtId="173" fontId="44" fillId="5" borderId="3" xfId="2" applyNumberFormat="1" applyFont="1" applyFill="1" applyBorder="1" applyAlignment="1" applyProtection="1">
      <alignment wrapText="1"/>
    </xf>
    <xf numFmtId="173" fontId="44" fillId="5" borderId="3" xfId="2" applyNumberFormat="1" applyFont="1" applyFill="1" applyBorder="1" applyAlignment="1" applyProtection="1">
      <alignment vertical="center" wrapText="1"/>
    </xf>
    <xf numFmtId="165" fontId="44" fillId="5" borderId="3" xfId="2" applyNumberFormat="1" applyFont="1" applyFill="1" applyBorder="1" applyAlignment="1" applyProtection="1">
      <alignment vertical="center" wrapText="1"/>
    </xf>
    <xf numFmtId="10" fontId="44" fillId="5" borderId="3" xfId="2" applyNumberFormat="1" applyFont="1" applyFill="1" applyBorder="1" applyAlignment="1" applyProtection="1">
      <alignment vertical="center" wrapText="1"/>
    </xf>
    <xf numFmtId="171" fontId="41" fillId="41" borderId="57" xfId="1" applyNumberFormat="1" applyFont="1" applyFill="1" applyBorder="1" applyAlignment="1">
      <alignment horizontal="left" vertical="center"/>
    </xf>
    <xf numFmtId="171" fontId="10" fillId="0" borderId="57" xfId="1" applyNumberFormat="1" applyFont="1" applyBorder="1" applyAlignment="1">
      <alignment vertical="center"/>
    </xf>
    <xf numFmtId="171" fontId="10" fillId="0" borderId="60" xfId="1" applyNumberFormat="1" applyFont="1" applyBorder="1" applyAlignment="1">
      <alignment vertical="center"/>
    </xf>
    <xf numFmtId="171" fontId="41" fillId="42" borderId="55" xfId="1" applyNumberFormat="1" applyFont="1" applyFill="1" applyBorder="1" applyAlignment="1">
      <alignment vertical="center"/>
    </xf>
    <xf numFmtId="171" fontId="41" fillId="42" borderId="57" xfId="1" applyNumberFormat="1" applyFont="1" applyFill="1" applyBorder="1" applyAlignment="1">
      <alignment vertical="center"/>
    </xf>
    <xf numFmtId="171" fontId="41" fillId="42" borderId="63" xfId="1" applyNumberFormat="1" applyFont="1" applyFill="1" applyBorder="1" applyAlignment="1">
      <alignment vertical="center"/>
    </xf>
    <xf numFmtId="180" fontId="26" fillId="20" borderId="48" xfId="0" applyNumberFormat="1" applyFont="1" applyFill="1" applyBorder="1" applyAlignment="1">
      <alignment horizontal="right" vertical="center" wrapText="1"/>
    </xf>
    <xf numFmtId="180" fontId="26" fillId="20" borderId="42" xfId="0" applyNumberFormat="1" applyFont="1" applyFill="1" applyBorder="1" applyAlignment="1">
      <alignment horizontal="right" vertical="center" wrapText="1"/>
    </xf>
    <xf numFmtId="180" fontId="26" fillId="20" borderId="31" xfId="0" applyNumberFormat="1" applyFont="1" applyFill="1" applyBorder="1" applyAlignment="1">
      <alignment horizontal="right" vertical="center" wrapText="1"/>
    </xf>
    <xf numFmtId="0" fontId="29" fillId="26" borderId="27" xfId="0" applyFont="1" applyFill="1" applyBorder="1" applyAlignment="1">
      <alignment horizontal="center" vertical="center" wrapText="1"/>
    </xf>
    <xf numFmtId="0" fontId="27" fillId="26" borderId="26" xfId="0" applyFont="1" applyFill="1" applyBorder="1" applyAlignment="1">
      <alignment horizontal="center" vertical="center" wrapText="1"/>
    </xf>
    <xf numFmtId="0" fontId="9" fillId="0" borderId="68" xfId="0" applyFont="1" applyBorder="1"/>
    <xf numFmtId="10" fontId="9" fillId="0" borderId="24" xfId="0" applyNumberFormat="1" applyFont="1" applyBorder="1"/>
    <xf numFmtId="4" fontId="16" fillId="0" borderId="66" xfId="0" applyNumberFormat="1" applyFont="1" applyBorder="1"/>
    <xf numFmtId="0" fontId="16" fillId="0" borderId="67" xfId="0" applyFont="1" applyBorder="1"/>
    <xf numFmtId="4" fontId="16" fillId="0" borderId="59" xfId="0" applyNumberFormat="1" applyFont="1" applyBorder="1"/>
    <xf numFmtId="170" fontId="14" fillId="33" borderId="24" xfId="1" applyFont="1" applyFill="1" applyBorder="1" applyAlignment="1">
      <alignment horizontal="center" vertical="center"/>
    </xf>
    <xf numFmtId="2" fontId="14" fillId="11" borderId="25" xfId="1" applyNumberFormat="1" applyFont="1" applyFill="1" applyBorder="1" applyAlignment="1">
      <alignment horizontal="center" vertical="center"/>
    </xf>
    <xf numFmtId="0" fontId="16" fillId="0" borderId="21" xfId="0" applyFont="1" applyBorder="1"/>
    <xf numFmtId="10" fontId="9" fillId="0" borderId="44" xfId="0" applyNumberFormat="1" applyFont="1" applyBorder="1"/>
    <xf numFmtId="0" fontId="16" fillId="0" borderId="10" xfId="0" applyFont="1" applyBorder="1"/>
    <xf numFmtId="4" fontId="16" fillId="0" borderId="7" xfId="0" applyNumberFormat="1" applyFont="1" applyBorder="1"/>
    <xf numFmtId="0" fontId="16" fillId="0" borderId="7" xfId="0" applyFont="1" applyBorder="1"/>
    <xf numFmtId="0" fontId="16" fillId="0" borderId="9" xfId="0" applyFont="1" applyBorder="1"/>
    <xf numFmtId="170" fontId="14" fillId="33" borderId="44" xfId="1" applyFont="1" applyFill="1" applyBorder="1" applyAlignment="1">
      <alignment horizontal="center" vertical="center"/>
    </xf>
    <xf numFmtId="168" fontId="14" fillId="11" borderId="25" xfId="1" applyNumberFormat="1" applyFont="1" applyFill="1" applyBorder="1" applyAlignment="1">
      <alignment horizontal="center" vertical="center"/>
    </xf>
    <xf numFmtId="4" fontId="16" fillId="0" borderId="10" xfId="0" applyNumberFormat="1" applyFont="1" applyBorder="1"/>
    <xf numFmtId="168" fontId="14" fillId="11" borderId="44" xfId="1" applyNumberFormat="1" applyFont="1" applyFill="1" applyBorder="1" applyAlignment="1">
      <alignment horizontal="center" vertical="center"/>
    </xf>
    <xf numFmtId="0" fontId="16" fillId="0" borderId="35" xfId="0" applyFont="1" applyBorder="1"/>
    <xf numFmtId="10" fontId="9" fillId="0" borderId="50" xfId="0" applyNumberFormat="1" applyFont="1" applyBorder="1"/>
    <xf numFmtId="0" fontId="16" fillId="0" borderId="12" xfId="0" applyFont="1" applyBorder="1"/>
    <xf numFmtId="0" fontId="16" fillId="0" borderId="8" xfId="0" applyFont="1" applyBorder="1"/>
    <xf numFmtId="0" fontId="16" fillId="0" borderId="17" xfId="0" applyFont="1" applyBorder="1"/>
    <xf numFmtId="170" fontId="14" fillId="33" borderId="50" xfId="1" applyFont="1" applyFill="1" applyBorder="1" applyAlignment="1">
      <alignment horizontal="center" vertical="center"/>
    </xf>
    <xf numFmtId="0" fontId="40" fillId="19" borderId="79" xfId="0" applyFont="1" applyFill="1" applyBorder="1" applyAlignment="1">
      <alignment horizontal="center" vertical="center"/>
    </xf>
    <xf numFmtId="170" fontId="12" fillId="33" borderId="1" xfId="1" applyFont="1" applyFill="1" applyBorder="1" applyAlignment="1">
      <alignment horizontal="center" vertical="center"/>
    </xf>
    <xf numFmtId="170" fontId="27" fillId="26" borderId="31" xfId="0" applyNumberFormat="1" applyFont="1" applyFill="1" applyBorder="1" applyAlignment="1">
      <alignment horizontal="center" vertical="center" wrapText="1"/>
    </xf>
    <xf numFmtId="0" fontId="14" fillId="0" borderId="22" xfId="0" applyFont="1" applyBorder="1"/>
    <xf numFmtId="0" fontId="14" fillId="0" borderId="10" xfId="0" applyFont="1" applyBorder="1"/>
    <xf numFmtId="0" fontId="14" fillId="0" borderId="33" xfId="0" applyFont="1" applyBorder="1"/>
    <xf numFmtId="2" fontId="26" fillId="34" borderId="52" xfId="0" applyNumberFormat="1" applyFont="1" applyFill="1" applyBorder="1" applyAlignment="1">
      <alignment horizontal="left"/>
    </xf>
    <xf numFmtId="0" fontId="22" fillId="24" borderId="39" xfId="0" applyFont="1" applyFill="1" applyBorder="1" applyAlignment="1">
      <alignment horizontal="right"/>
    </xf>
    <xf numFmtId="167" fontId="3" fillId="0" borderId="7" xfId="0" applyNumberFormat="1" applyFont="1" applyBorder="1" applyAlignment="1">
      <alignment vertical="center"/>
    </xf>
    <xf numFmtId="167" fontId="3" fillId="0" borderId="7" xfId="0" applyNumberFormat="1" applyFont="1" applyBorder="1" applyAlignment="1">
      <alignment horizontal="center" vertical="center"/>
    </xf>
    <xf numFmtId="2" fontId="49" fillId="27" borderId="81" xfId="0" applyNumberFormat="1" applyFont="1" applyFill="1" applyBorder="1"/>
    <xf numFmtId="2" fontId="49" fillId="27" borderId="83" xfId="0" applyNumberFormat="1" applyFont="1" applyFill="1" applyBorder="1"/>
    <xf numFmtId="2" fontId="49" fillId="27" borderId="85" xfId="0" applyNumberFormat="1" applyFont="1" applyFill="1" applyBorder="1"/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/>
    <xf numFmtId="10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10" fillId="7" borderId="89" xfId="0" applyFont="1" applyFill="1" applyBorder="1" applyAlignment="1">
      <alignment horizontal="center" vertical="center" wrapText="1"/>
    </xf>
    <xf numFmtId="0" fontId="9" fillId="6" borderId="91" xfId="0" applyFont="1" applyFill="1" applyBorder="1" applyAlignment="1" applyProtection="1">
      <alignment horizontal="center" vertical="center"/>
      <protection locked="0"/>
    </xf>
    <xf numFmtId="0" fontId="9" fillId="0" borderId="92" xfId="0" applyFont="1" applyBorder="1"/>
    <xf numFmtId="0" fontId="16" fillId="0" borderId="93" xfId="0" applyFont="1" applyBorder="1"/>
    <xf numFmtId="0" fontId="14" fillId="0" borderId="94" xfId="0" applyFont="1" applyBorder="1"/>
    <xf numFmtId="0" fontId="10" fillId="7" borderId="95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/>
    </xf>
    <xf numFmtId="10" fontId="16" fillId="0" borderId="10" xfId="0" applyNumberFormat="1" applyFont="1" applyBorder="1" applyAlignment="1">
      <alignment horizontal="center"/>
    </xf>
    <xf numFmtId="10" fontId="16" fillId="0" borderId="90" xfId="0" applyNumberFormat="1" applyFont="1" applyBorder="1" applyAlignment="1">
      <alignment horizontal="center"/>
    </xf>
    <xf numFmtId="2" fontId="50" fillId="0" borderId="96" xfId="0" applyNumberFormat="1" applyFont="1" applyBorder="1" applyAlignment="1">
      <alignment horizontal="center"/>
    </xf>
    <xf numFmtId="172" fontId="3" fillId="0" borderId="0" xfId="1" quotePrefix="1" applyNumberFormat="1" applyFont="1" applyAlignment="1">
      <alignment horizontal="center" vertical="center"/>
    </xf>
    <xf numFmtId="0" fontId="6" fillId="8" borderId="98" xfId="0" applyFont="1" applyFill="1" applyBorder="1" applyAlignment="1">
      <alignment horizontal="center"/>
    </xf>
    <xf numFmtId="0" fontId="0" fillId="8" borderId="99" xfId="0" applyFill="1" applyBorder="1"/>
    <xf numFmtId="172" fontId="3" fillId="8" borderId="100" xfId="1" applyNumberFormat="1" applyFont="1" applyFill="1" applyBorder="1" applyAlignment="1">
      <alignment horizontal="center" vertical="center"/>
    </xf>
    <xf numFmtId="2" fontId="51" fillId="0" borderId="96" xfId="0" applyNumberFormat="1" applyFont="1" applyBorder="1" applyAlignment="1">
      <alignment horizontal="center"/>
    </xf>
    <xf numFmtId="2" fontId="52" fillId="0" borderId="96" xfId="0" applyNumberFormat="1" applyFont="1" applyBorder="1" applyAlignment="1">
      <alignment horizontal="center"/>
    </xf>
    <xf numFmtId="2" fontId="52" fillId="0" borderId="97" xfId="0" applyNumberFormat="1" applyFont="1" applyBorder="1" applyAlignment="1">
      <alignment horizontal="center"/>
    </xf>
    <xf numFmtId="2" fontId="53" fillId="46" borderId="33" xfId="0" applyNumberFormat="1" applyFont="1" applyFill="1" applyBorder="1"/>
    <xf numFmtId="2" fontId="50" fillId="46" borderId="33" xfId="0" applyNumberFormat="1" applyFont="1" applyFill="1" applyBorder="1"/>
    <xf numFmtId="2" fontId="50" fillId="46" borderId="33" xfId="0" applyNumberFormat="1" applyFont="1" applyFill="1" applyBorder="1" applyAlignment="1">
      <alignment horizontal="center"/>
    </xf>
    <xf numFmtId="171" fontId="3" fillId="0" borderId="0" xfId="0" applyNumberFormat="1" applyFont="1" applyAlignment="1">
      <alignment horizontal="center" vertical="center"/>
    </xf>
    <xf numFmtId="2" fontId="52" fillId="33" borderId="58" xfId="0" applyNumberFormat="1" applyFont="1" applyFill="1" applyBorder="1"/>
    <xf numFmtId="2" fontId="52" fillId="33" borderId="24" xfId="0" applyNumberFormat="1" applyFont="1" applyFill="1" applyBorder="1"/>
    <xf numFmtId="2" fontId="52" fillId="33" borderId="2" xfId="0" applyNumberFormat="1" applyFont="1" applyFill="1" applyBorder="1"/>
    <xf numFmtId="2" fontId="52" fillId="33" borderId="25" xfId="0" applyNumberFormat="1" applyFont="1" applyFill="1" applyBorder="1"/>
    <xf numFmtId="2" fontId="52" fillId="27" borderId="56" xfId="0" applyNumberFormat="1" applyFont="1" applyFill="1" applyBorder="1"/>
    <xf numFmtId="2" fontId="52" fillId="27" borderId="33" xfId="0" applyNumberFormat="1" applyFont="1" applyFill="1" applyBorder="1"/>
    <xf numFmtId="166" fontId="54" fillId="0" borderId="101" xfId="0" applyNumberFormat="1" applyFont="1" applyBorder="1" applyAlignment="1">
      <alignment vertical="center"/>
    </xf>
    <xf numFmtId="173" fontId="54" fillId="0" borderId="101" xfId="0" applyNumberFormat="1" applyFont="1" applyBorder="1" applyAlignment="1">
      <alignment wrapText="1"/>
    </xf>
    <xf numFmtId="0" fontId="18" fillId="3" borderId="39" xfId="0" applyFont="1" applyFill="1" applyBorder="1" applyAlignment="1">
      <alignment vertical="center"/>
    </xf>
    <xf numFmtId="174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173" fontId="18" fillId="3" borderId="39" xfId="0" applyNumberFormat="1" applyFont="1" applyFill="1" applyBorder="1" applyAlignment="1">
      <alignment vertical="center"/>
    </xf>
    <xf numFmtId="173" fontId="18" fillId="3" borderId="40" xfId="0" applyNumberFormat="1" applyFont="1" applyFill="1" applyBorder="1" applyAlignment="1">
      <alignment vertical="center"/>
    </xf>
    <xf numFmtId="166" fontId="54" fillId="0" borderId="102" xfId="0" applyNumberFormat="1" applyFont="1" applyBorder="1" applyAlignment="1">
      <alignment vertical="center"/>
    </xf>
    <xf numFmtId="0" fontId="7" fillId="10" borderId="0" xfId="0" applyFont="1" applyFill="1" applyAlignment="1">
      <alignment vertical="center"/>
    </xf>
    <xf numFmtId="0" fontId="19" fillId="10" borderId="0" xfId="0" applyFont="1" applyFill="1"/>
    <xf numFmtId="0" fontId="21" fillId="10" borderId="0" xfId="0" applyFont="1" applyFill="1" applyAlignment="1">
      <alignment vertical="center"/>
    </xf>
    <xf numFmtId="0" fontId="19" fillId="3" borderId="103" xfId="0" applyFont="1" applyFill="1" applyBorder="1" applyAlignment="1">
      <alignment horizontal="center" vertical="center" wrapText="1"/>
    </xf>
    <xf numFmtId="0" fontId="17" fillId="0" borderId="93" xfId="0" applyFont="1" applyBorder="1" applyAlignment="1">
      <alignment vertical="center"/>
    </xf>
    <xf numFmtId="0" fontId="17" fillId="0" borderId="104" xfId="0" applyFont="1" applyBorder="1" applyAlignment="1">
      <alignment vertical="center"/>
    </xf>
    <xf numFmtId="0" fontId="17" fillId="0" borderId="105" xfId="0" applyFont="1" applyBorder="1" applyAlignment="1">
      <alignment vertical="center"/>
    </xf>
    <xf numFmtId="0" fontId="19" fillId="3" borderId="39" xfId="0" applyFont="1" applyFill="1" applyBorder="1" applyAlignment="1">
      <alignment horizontal="center" vertical="center" wrapText="1"/>
    </xf>
    <xf numFmtId="166" fontId="17" fillId="0" borderId="21" xfId="0" applyNumberFormat="1" applyFont="1" applyBorder="1" applyAlignment="1">
      <alignment vertical="center"/>
    </xf>
    <xf numFmtId="0" fontId="18" fillId="9" borderId="31" xfId="0" applyFont="1" applyFill="1" applyBorder="1" applyAlignment="1">
      <alignment vertical="center"/>
    </xf>
    <xf numFmtId="173" fontId="54" fillId="0" borderId="107" xfId="0" applyNumberFormat="1" applyFont="1" applyBorder="1" applyAlignment="1">
      <alignment wrapText="1"/>
    </xf>
    <xf numFmtId="173" fontId="55" fillId="0" borderId="107" xfId="0" applyNumberFormat="1" applyFont="1" applyBorder="1" applyAlignment="1">
      <alignment wrapText="1"/>
    </xf>
    <xf numFmtId="173" fontId="54" fillId="0" borderId="102" xfId="0" applyNumberFormat="1" applyFont="1" applyBorder="1"/>
    <xf numFmtId="0" fontId="18" fillId="12" borderId="108" xfId="0" applyFont="1" applyFill="1" applyBorder="1" applyAlignment="1">
      <alignment vertical="center"/>
    </xf>
    <xf numFmtId="0" fontId="18" fillId="12" borderId="109" xfId="0" applyFont="1" applyFill="1" applyBorder="1" applyAlignment="1">
      <alignment vertical="center"/>
    </xf>
    <xf numFmtId="9" fontId="18" fillId="12" borderId="111" xfId="0" applyNumberFormat="1" applyFont="1" applyFill="1" applyBorder="1" applyAlignment="1">
      <alignment horizontal="left" vertical="center"/>
    </xf>
    <xf numFmtId="173" fontId="54" fillId="0" borderId="102" xfId="0" applyNumberFormat="1" applyFont="1" applyBorder="1" applyAlignment="1">
      <alignment wrapText="1"/>
    </xf>
    <xf numFmtId="173" fontId="54" fillId="0" borderId="112" xfId="0" applyNumberFormat="1" applyFont="1" applyBorder="1" applyAlignment="1">
      <alignment wrapText="1"/>
    </xf>
    <xf numFmtId="173" fontId="54" fillId="0" borderId="106" xfId="0" applyNumberFormat="1" applyFont="1" applyBorder="1" applyAlignment="1">
      <alignment wrapText="1"/>
    </xf>
    <xf numFmtId="166" fontId="18" fillId="14" borderId="116" xfId="0" applyNumberFormat="1" applyFont="1" applyFill="1" applyBorder="1" applyAlignment="1">
      <alignment vertical="center"/>
    </xf>
    <xf numFmtId="0" fontId="18" fillId="15" borderId="117" xfId="0" applyFont="1" applyFill="1" applyBorder="1" applyAlignment="1">
      <alignment vertical="center"/>
    </xf>
    <xf numFmtId="0" fontId="18" fillId="15" borderId="118" xfId="0" applyFont="1" applyFill="1" applyBorder="1" applyAlignment="1">
      <alignment vertical="center"/>
    </xf>
    <xf numFmtId="171" fontId="41" fillId="38" borderId="7" xfId="1" applyNumberFormat="1" applyFont="1" applyFill="1" applyBorder="1" applyAlignment="1">
      <alignment horizontal="center" vertical="center"/>
    </xf>
    <xf numFmtId="4" fontId="9" fillId="0" borderId="66" xfId="0" applyNumberFormat="1" applyFont="1" applyBorder="1"/>
    <xf numFmtId="0" fontId="9" fillId="0" borderId="10" xfId="0" applyFont="1" applyBorder="1"/>
    <xf numFmtId="4" fontId="9" fillId="0" borderId="10" xfId="0" applyNumberFormat="1" applyFont="1" applyBorder="1"/>
    <xf numFmtId="0" fontId="9" fillId="0" borderId="12" xfId="0" applyFont="1" applyBorder="1"/>
    <xf numFmtId="0" fontId="9" fillId="0" borderId="67" xfId="0" applyFont="1" applyBorder="1"/>
    <xf numFmtId="4" fontId="9" fillId="0" borderId="7" xfId="0" applyNumberFormat="1" applyFont="1" applyBorder="1"/>
    <xf numFmtId="0" fontId="9" fillId="0" borderId="7" xfId="0" applyFont="1" applyBorder="1"/>
    <xf numFmtId="0" fontId="9" fillId="0" borderId="8" xfId="0" applyFont="1" applyBorder="1"/>
    <xf numFmtId="0" fontId="25" fillId="0" borderId="22" xfId="0" applyFont="1" applyBorder="1"/>
    <xf numFmtId="0" fontId="25" fillId="0" borderId="3" xfId="0" applyFont="1" applyBorder="1" applyAlignment="1">
      <alignment vertical="center"/>
    </xf>
    <xf numFmtId="173" fontId="55" fillId="0" borderId="101" xfId="0" applyNumberFormat="1" applyFont="1" applyBorder="1" applyAlignment="1">
      <alignment wrapText="1"/>
    </xf>
    <xf numFmtId="173" fontId="25" fillId="0" borderId="25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6" fontId="16" fillId="3" borderId="3" xfId="0" applyNumberFormat="1" applyFont="1" applyFill="1" applyBorder="1" applyAlignment="1">
      <alignment horizontal="center" vertical="center"/>
    </xf>
    <xf numFmtId="0" fontId="29" fillId="26" borderId="91" xfId="0" applyFont="1" applyFill="1" applyBorder="1" applyAlignment="1">
      <alignment horizontal="center" vertical="center" wrapText="1"/>
    </xf>
    <xf numFmtId="0" fontId="27" fillId="26" borderId="121" xfId="0" applyFont="1" applyFill="1" applyBorder="1" applyAlignment="1">
      <alignment horizontal="center" vertical="center" wrapText="1"/>
    </xf>
    <xf numFmtId="2" fontId="14" fillId="11" borderId="93" xfId="1" applyNumberFormat="1" applyFont="1" applyFill="1" applyBorder="1" applyAlignment="1">
      <alignment horizontal="center" vertical="center"/>
    </xf>
    <xf numFmtId="168" fontId="14" fillId="11" borderId="93" xfId="1" applyNumberFormat="1" applyFont="1" applyFill="1" applyBorder="1" applyAlignment="1">
      <alignment horizontal="center" vertical="center"/>
    </xf>
    <xf numFmtId="168" fontId="14" fillId="11" borderId="104" xfId="1" applyNumberFormat="1" applyFont="1" applyFill="1" applyBorder="1" applyAlignment="1">
      <alignment horizontal="center" vertical="center"/>
    </xf>
    <xf numFmtId="168" fontId="14" fillId="11" borderId="122" xfId="1" applyNumberFormat="1" applyFont="1" applyFill="1" applyBorder="1" applyAlignment="1">
      <alignment horizontal="center" vertical="center"/>
    </xf>
    <xf numFmtId="170" fontId="27" fillId="26" borderId="94" xfId="0" applyNumberFormat="1" applyFont="1" applyFill="1" applyBorder="1" applyAlignment="1">
      <alignment horizontal="center" vertical="center" wrapText="1"/>
    </xf>
    <xf numFmtId="0" fontId="28" fillId="25" borderId="39" xfId="0" applyFont="1" applyFill="1" applyBorder="1" applyAlignment="1">
      <alignment horizontal="center" vertical="center" wrapText="1"/>
    </xf>
    <xf numFmtId="170" fontId="26" fillId="25" borderId="39" xfId="0" applyNumberFormat="1" applyFont="1" applyFill="1" applyBorder="1" applyAlignment="1">
      <alignment horizontal="center" vertical="center" wrapText="1"/>
    </xf>
    <xf numFmtId="0" fontId="55" fillId="0" borderId="106" xfId="0" applyFont="1" applyBorder="1"/>
    <xf numFmtId="0" fontId="55" fillId="0" borderId="106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173" fontId="55" fillId="0" borderId="102" xfId="0" applyNumberFormat="1" applyFont="1" applyBorder="1"/>
    <xf numFmtId="166" fontId="25" fillId="0" borderId="25" xfId="0" applyNumberFormat="1" applyFont="1" applyBorder="1" applyAlignment="1">
      <alignment vertical="center"/>
    </xf>
    <xf numFmtId="0" fontId="41" fillId="5" borderId="111" xfId="0" applyFont="1" applyFill="1" applyBorder="1" applyAlignment="1">
      <alignment horizontal="center" vertical="center"/>
    </xf>
    <xf numFmtId="0" fontId="41" fillId="36" borderId="109" xfId="0" applyFont="1" applyFill="1" applyBorder="1" applyAlignment="1">
      <alignment horizontal="center" vertical="center" wrapText="1"/>
    </xf>
    <xf numFmtId="0" fontId="41" fillId="36" borderId="108" xfId="0" applyFont="1" applyFill="1" applyBorder="1" applyAlignment="1">
      <alignment horizontal="center" vertical="center" wrapText="1"/>
    </xf>
    <xf numFmtId="0" fontId="41" fillId="36" borderId="111" xfId="0" applyFont="1" applyFill="1" applyBorder="1" applyAlignment="1">
      <alignment horizontal="center" vertical="center" wrapText="1"/>
    </xf>
    <xf numFmtId="0" fontId="43" fillId="5" borderId="123" xfId="0" applyFont="1" applyFill="1" applyBorder="1" applyAlignment="1">
      <alignment horizontal="center" vertical="center"/>
    </xf>
    <xf numFmtId="0" fontId="10" fillId="5" borderId="123" xfId="0" applyFont="1" applyFill="1" applyBorder="1" applyAlignment="1">
      <alignment vertical="center"/>
    </xf>
    <xf numFmtId="4" fontId="3" fillId="35" borderId="129" xfId="0" applyNumberFormat="1" applyFont="1" applyFill="1" applyBorder="1" applyAlignment="1">
      <alignment horizontal="center"/>
    </xf>
    <xf numFmtId="167" fontId="3" fillId="35" borderId="129" xfId="0" applyNumberFormat="1" applyFont="1" applyFill="1" applyBorder="1" applyAlignment="1">
      <alignment horizontal="center"/>
    </xf>
    <xf numFmtId="0" fontId="3" fillId="35" borderId="129" xfId="0" applyFont="1" applyFill="1" applyBorder="1" applyAlignment="1">
      <alignment horizontal="center"/>
    </xf>
    <xf numFmtId="0" fontId="10" fillId="5" borderId="125" xfId="0" applyFont="1" applyFill="1" applyBorder="1" applyAlignment="1">
      <alignment vertical="center"/>
    </xf>
    <xf numFmtId="0" fontId="6" fillId="5" borderId="130" xfId="0" applyFont="1" applyFill="1" applyBorder="1" applyAlignment="1">
      <alignment horizontal="right" vertical="center"/>
    </xf>
    <xf numFmtId="0" fontId="3" fillId="35" borderId="131" xfId="0" applyFont="1" applyFill="1" applyBorder="1" applyAlignment="1">
      <alignment horizontal="center"/>
    </xf>
    <xf numFmtId="0" fontId="3" fillId="35" borderId="132" xfId="0" applyFont="1" applyFill="1" applyBorder="1" applyAlignment="1">
      <alignment horizontal="center"/>
    </xf>
    <xf numFmtId="0" fontId="3" fillId="35" borderId="133" xfId="0" applyFont="1" applyFill="1" applyBorder="1" applyAlignment="1">
      <alignment horizontal="center"/>
    </xf>
    <xf numFmtId="0" fontId="41" fillId="38" borderId="134" xfId="0" applyFont="1" applyFill="1" applyBorder="1" applyAlignment="1">
      <alignment vertical="center" wrapText="1"/>
    </xf>
    <xf numFmtId="171" fontId="41" fillId="38" borderId="135" xfId="1" applyNumberFormat="1" applyFont="1" applyFill="1" applyBorder="1" applyAlignment="1">
      <alignment horizontal="center" vertical="center"/>
    </xf>
    <xf numFmtId="0" fontId="10" fillId="5" borderId="134" xfId="0" applyFont="1" applyFill="1" applyBorder="1" applyAlignment="1">
      <alignment vertical="center" wrapText="1"/>
    </xf>
    <xf numFmtId="171" fontId="41" fillId="5" borderId="136" xfId="1" applyNumberFormat="1" applyFont="1" applyFill="1" applyBorder="1"/>
    <xf numFmtId="0" fontId="12" fillId="9" borderId="137" xfId="0" applyFont="1" applyFill="1" applyBorder="1" applyAlignment="1">
      <alignment horizontal="right" vertical="center"/>
    </xf>
    <xf numFmtId="9" fontId="12" fillId="9" borderId="138" xfId="0" applyNumberFormat="1" applyFont="1" applyFill="1" applyBorder="1" applyAlignment="1">
      <alignment horizontal="center" vertical="center"/>
    </xf>
    <xf numFmtId="2" fontId="12" fillId="9" borderId="138" xfId="0" applyNumberFormat="1" applyFont="1" applyFill="1" applyBorder="1" applyAlignment="1">
      <alignment horizontal="right" vertical="center"/>
    </xf>
    <xf numFmtId="2" fontId="12" fillId="9" borderId="139" xfId="0" applyNumberFormat="1" applyFont="1" applyFill="1" applyBorder="1" applyAlignment="1">
      <alignment horizontal="right" vertical="center"/>
    </xf>
    <xf numFmtId="2" fontId="12" fillId="9" borderId="140" xfId="0" applyNumberFormat="1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6" fillId="35" borderId="128" xfId="0" applyFont="1" applyFill="1" applyBorder="1" applyAlignment="1">
      <alignment horizontal="center" wrapText="1"/>
    </xf>
    <xf numFmtId="0" fontId="41" fillId="38" borderId="141" xfId="0" applyFont="1" applyFill="1" applyBorder="1" applyAlignment="1">
      <alignment vertical="center" wrapText="1"/>
    </xf>
    <xf numFmtId="0" fontId="10" fillId="5" borderId="135" xfId="0" applyFont="1" applyFill="1" applyBorder="1" applyAlignment="1">
      <alignment horizontal="center" vertical="center"/>
    </xf>
    <xf numFmtId="0" fontId="12" fillId="3" borderId="134" xfId="0" applyFont="1" applyFill="1" applyBorder="1" applyAlignment="1">
      <alignment vertical="center"/>
    </xf>
    <xf numFmtId="171" fontId="41" fillId="39" borderId="136" xfId="1" applyNumberFormat="1" applyFont="1" applyFill="1" applyBorder="1" applyAlignment="1">
      <alignment horizontal="center" vertical="center"/>
    </xf>
    <xf numFmtId="0" fontId="14" fillId="0" borderId="134" xfId="0" applyFont="1" applyBorder="1" applyAlignment="1">
      <alignment vertical="center"/>
    </xf>
    <xf numFmtId="0" fontId="12" fillId="9" borderId="134" xfId="0" applyFont="1" applyFill="1" applyBorder="1" applyAlignment="1">
      <alignment horizontal="right" vertical="center"/>
    </xf>
    <xf numFmtId="2" fontId="12" fillId="9" borderId="136" xfId="0" applyNumberFormat="1" applyFont="1" applyFill="1" applyBorder="1" applyAlignment="1">
      <alignment horizontal="right" vertical="center"/>
    </xf>
    <xf numFmtId="0" fontId="12" fillId="3" borderId="136" xfId="0" applyFont="1" applyFill="1" applyBorder="1" applyAlignment="1">
      <alignment vertical="center"/>
    </xf>
    <xf numFmtId="171" fontId="41" fillId="5" borderId="136" xfId="1" applyNumberFormat="1" applyFont="1" applyFill="1" applyBorder="1" applyAlignment="1">
      <alignment vertical="center"/>
    </xf>
    <xf numFmtId="171" fontId="41" fillId="38" borderId="136" xfId="1" applyNumberFormat="1" applyFont="1" applyFill="1" applyBorder="1" applyAlignment="1">
      <alignment horizontal="center" vertical="center"/>
    </xf>
    <xf numFmtId="4" fontId="14" fillId="0" borderId="136" xfId="0" applyNumberFormat="1" applyFont="1" applyBorder="1" applyAlignment="1">
      <alignment vertical="center"/>
    </xf>
    <xf numFmtId="0" fontId="10" fillId="5" borderId="134" xfId="0" applyFont="1" applyFill="1" applyBorder="1" applyAlignment="1">
      <alignment horizontal="center" vertical="center"/>
    </xf>
    <xf numFmtId="0" fontId="10" fillId="5" borderId="136" xfId="0" applyFont="1" applyFill="1" applyBorder="1" applyAlignment="1">
      <alignment horizontal="center" vertical="center"/>
    </xf>
    <xf numFmtId="0" fontId="12" fillId="3" borderId="136" xfId="0" applyFont="1" applyFill="1" applyBorder="1" applyAlignment="1">
      <alignment horizontal="center" vertical="center"/>
    </xf>
    <xf numFmtId="2" fontId="14" fillId="0" borderId="136" xfId="0" applyNumberFormat="1" applyFont="1" applyBorder="1" applyAlignment="1">
      <alignment horizontal="right" vertical="center"/>
    </xf>
    <xf numFmtId="4" fontId="12" fillId="9" borderId="136" xfId="0" applyNumberFormat="1" applyFont="1" applyFill="1" applyBorder="1" applyAlignment="1">
      <alignment horizontal="right" vertical="center"/>
    </xf>
    <xf numFmtId="4" fontId="12" fillId="0" borderId="136" xfId="0" applyNumberFormat="1" applyFont="1" applyBorder="1" applyAlignment="1">
      <alignment horizontal="right" vertical="center"/>
    </xf>
    <xf numFmtId="0" fontId="41" fillId="40" borderId="134" xfId="0" applyFont="1" applyFill="1" applyBorder="1" applyAlignment="1">
      <alignment horizontal="right" vertical="center" wrapText="1"/>
    </xf>
    <xf numFmtId="171" fontId="41" fillId="40" borderId="136" xfId="0" applyNumberFormat="1" applyFont="1" applyFill="1" applyBorder="1" applyAlignment="1">
      <alignment vertical="center"/>
    </xf>
    <xf numFmtId="0" fontId="14" fillId="0" borderId="134" xfId="0" applyFont="1" applyBorder="1" applyAlignment="1">
      <alignment wrapText="1"/>
    </xf>
    <xf numFmtId="0" fontId="10" fillId="5" borderId="144" xfId="0" applyFont="1" applyFill="1" applyBorder="1" applyAlignment="1">
      <alignment horizontal="center" vertical="center"/>
    </xf>
    <xf numFmtId="0" fontId="41" fillId="41" borderId="134" xfId="0" applyFont="1" applyFill="1" applyBorder="1" applyAlignment="1">
      <alignment vertical="center" wrapText="1"/>
    </xf>
    <xf numFmtId="171" fontId="41" fillId="41" borderId="136" xfId="1" applyNumberFormat="1" applyFont="1" applyFill="1" applyBorder="1" applyAlignment="1">
      <alignment horizontal="left" vertical="center"/>
    </xf>
    <xf numFmtId="171" fontId="10" fillId="0" borderId="136" xfId="1" applyNumberFormat="1" applyFont="1" applyBorder="1" applyAlignment="1">
      <alignment vertical="center"/>
    </xf>
    <xf numFmtId="171" fontId="10" fillId="0" borderId="144" xfId="1" applyNumberFormat="1" applyFont="1" applyBorder="1" applyAlignment="1">
      <alignment vertical="center"/>
    </xf>
    <xf numFmtId="171" fontId="41" fillId="42" borderId="146" xfId="1" applyNumberFormat="1" applyFont="1" applyFill="1" applyBorder="1" applyAlignment="1">
      <alignment vertical="center"/>
    </xf>
    <xf numFmtId="171" fontId="41" fillId="42" borderId="136" xfId="1" applyNumberFormat="1" applyFont="1" applyFill="1" applyBorder="1" applyAlignment="1">
      <alignment vertical="center"/>
    </xf>
    <xf numFmtId="171" fontId="41" fillId="42" borderId="147" xfId="1" applyNumberFormat="1" applyFont="1" applyFill="1" applyBorder="1" applyAlignment="1">
      <alignment vertical="center"/>
    </xf>
    <xf numFmtId="171" fontId="10" fillId="5" borderId="135" xfId="1" applyNumberFormat="1" applyFont="1" applyFill="1" applyBorder="1" applyAlignment="1">
      <alignment vertical="center"/>
    </xf>
    <xf numFmtId="0" fontId="41" fillId="40" borderId="148" xfId="0" applyFont="1" applyFill="1" applyBorder="1" applyAlignment="1">
      <alignment horizontal="right" vertical="center" wrapText="1"/>
    </xf>
    <xf numFmtId="171" fontId="41" fillId="40" borderId="147" xfId="0" applyNumberFormat="1" applyFont="1" applyFill="1" applyBorder="1" applyAlignment="1">
      <alignment vertical="center"/>
    </xf>
    <xf numFmtId="0" fontId="41" fillId="43" borderId="146" xfId="0" applyFont="1" applyFill="1" applyBorder="1" applyAlignment="1">
      <alignment horizontal="center" vertical="center" wrapText="1"/>
    </xf>
    <xf numFmtId="171" fontId="41" fillId="44" borderId="144" xfId="1" applyNumberFormat="1" applyFont="1" applyFill="1" applyBorder="1" applyAlignment="1">
      <alignment horizontal="center" vertical="center"/>
    </xf>
    <xf numFmtId="171" fontId="41" fillId="5" borderId="146" xfId="0" applyNumberFormat="1" applyFont="1" applyFill="1" applyBorder="1" applyAlignment="1">
      <alignment vertical="center"/>
    </xf>
    <xf numFmtId="171" fontId="41" fillId="5" borderId="136" xfId="0" applyNumberFormat="1" applyFont="1" applyFill="1" applyBorder="1" applyAlignment="1">
      <alignment vertical="center"/>
    </xf>
    <xf numFmtId="171" fontId="46" fillId="5" borderId="136" xfId="0" applyNumberFormat="1" applyFont="1" applyFill="1" applyBorder="1" applyAlignment="1">
      <alignment vertical="center"/>
    </xf>
    <xf numFmtId="171" fontId="46" fillId="5" borderId="144" xfId="0" applyNumberFormat="1" applyFont="1" applyFill="1" applyBorder="1" applyAlignment="1">
      <alignment vertical="center"/>
    </xf>
    <xf numFmtId="171" fontId="46" fillId="5" borderId="155" xfId="0" applyNumberFormat="1" applyFont="1" applyFill="1" applyBorder="1" applyAlignment="1">
      <alignment vertical="center"/>
    </xf>
    <xf numFmtId="0" fontId="41" fillId="16" borderId="149" xfId="0" applyFont="1" applyFill="1" applyBorder="1" applyAlignment="1">
      <alignment vertical="center" wrapText="1"/>
    </xf>
    <xf numFmtId="180" fontId="41" fillId="16" borderId="150" xfId="0" applyNumberFormat="1" applyFont="1" applyFill="1" applyBorder="1" applyAlignment="1">
      <alignment horizontal="right" vertical="center" wrapText="1"/>
    </xf>
    <xf numFmtId="0" fontId="41" fillId="16" borderId="123" xfId="0" applyFont="1" applyFill="1" applyBorder="1" applyAlignment="1">
      <alignment vertical="center" wrapText="1"/>
    </xf>
    <xf numFmtId="180" fontId="41" fillId="16" borderId="127" xfId="0" applyNumberFormat="1" applyFont="1" applyFill="1" applyBorder="1" applyAlignment="1">
      <alignment horizontal="right" vertical="center" wrapText="1"/>
    </xf>
    <xf numFmtId="0" fontId="41" fillId="20" borderId="149" xfId="0" applyFont="1" applyFill="1" applyBorder="1" applyAlignment="1">
      <alignment vertical="center" wrapText="1"/>
    </xf>
    <xf numFmtId="180" fontId="41" fillId="20" borderId="150" xfId="0" applyNumberFormat="1" applyFont="1" applyFill="1" applyBorder="1" applyAlignment="1">
      <alignment horizontal="right" vertical="center" wrapText="1"/>
    </xf>
    <xf numFmtId="0" fontId="41" fillId="20" borderId="123" xfId="0" applyFont="1" applyFill="1" applyBorder="1" applyAlignment="1">
      <alignment vertical="center" wrapText="1"/>
    </xf>
    <xf numFmtId="180" fontId="41" fillId="20" borderId="127" xfId="0" applyNumberFormat="1" applyFont="1" applyFill="1" applyBorder="1" applyAlignment="1">
      <alignment horizontal="right" vertical="center" wrapText="1"/>
    </xf>
    <xf numFmtId="0" fontId="41" fillId="20" borderId="125" xfId="0" applyFont="1" applyFill="1" applyBorder="1" applyAlignment="1">
      <alignment vertical="center" wrapText="1"/>
    </xf>
    <xf numFmtId="0" fontId="41" fillId="20" borderId="130" xfId="0" applyFont="1" applyFill="1" applyBorder="1" applyAlignment="1">
      <alignment vertical="center" wrapText="1"/>
    </xf>
    <xf numFmtId="180" fontId="26" fillId="20" borderId="130" xfId="0" applyNumberFormat="1" applyFont="1" applyFill="1" applyBorder="1" applyAlignment="1">
      <alignment horizontal="right" vertical="center" wrapText="1"/>
    </xf>
    <xf numFmtId="180" fontId="41" fillId="20" borderId="97" xfId="0" applyNumberFormat="1" applyFont="1" applyFill="1" applyBorder="1" applyAlignment="1">
      <alignment horizontal="right" vertical="center" wrapText="1"/>
    </xf>
    <xf numFmtId="0" fontId="29" fillId="11" borderId="121" xfId="0" applyFont="1" applyFill="1" applyBorder="1" applyAlignment="1">
      <alignment horizontal="center" vertical="center" wrapText="1"/>
    </xf>
    <xf numFmtId="168" fontId="14" fillId="11" borderId="92" xfId="1" applyNumberFormat="1" applyFont="1" applyFill="1" applyBorder="1" applyAlignment="1">
      <alignment horizontal="center" vertical="center"/>
    </xf>
    <xf numFmtId="168" fontId="14" fillId="11" borderId="105" xfId="1" applyNumberFormat="1" applyFont="1" applyFill="1" applyBorder="1" applyAlignment="1">
      <alignment horizontal="center" vertical="center"/>
    </xf>
    <xf numFmtId="168" fontId="14" fillId="29" borderId="59" xfId="1" applyNumberFormat="1" applyFont="1" applyFill="1" applyBorder="1" applyAlignment="1">
      <alignment horizontal="center" vertical="center"/>
    </xf>
    <xf numFmtId="168" fontId="14" fillId="29" borderId="6" xfId="1" applyNumberFormat="1" applyFont="1" applyFill="1" applyBorder="1" applyAlignment="1">
      <alignment horizontal="center" vertical="center"/>
    </xf>
    <xf numFmtId="168" fontId="14" fillId="29" borderId="13" xfId="1" applyNumberFormat="1" applyFont="1" applyFill="1" applyBorder="1" applyAlignment="1">
      <alignment horizontal="center" vertical="center"/>
    </xf>
    <xf numFmtId="168" fontId="14" fillId="29" borderId="158" xfId="1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168" fontId="34" fillId="19" borderId="30" xfId="1" applyNumberFormat="1" applyFont="1" applyFill="1" applyBorder="1" applyAlignment="1">
      <alignment horizontal="center" vertical="center"/>
    </xf>
    <xf numFmtId="168" fontId="56" fillId="19" borderId="4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7" fillId="0" borderId="0" xfId="0" applyFont="1" applyAlignment="1">
      <alignment horizontal="center"/>
    </xf>
    <xf numFmtId="171" fontId="16" fillId="0" borderId="0" xfId="1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 vertical="center" wrapText="1"/>
    </xf>
    <xf numFmtId="164" fontId="36" fillId="0" borderId="0" xfId="0" applyNumberFormat="1" applyFont="1"/>
    <xf numFmtId="0" fontId="26" fillId="25" borderId="86" xfId="0" applyFont="1" applyFill="1" applyBorder="1"/>
    <xf numFmtId="0" fontId="16" fillId="7" borderId="159" xfId="0" applyFont="1" applyFill="1" applyBorder="1" applyAlignment="1">
      <alignment horizontal="center" wrapText="1"/>
    </xf>
    <xf numFmtId="0" fontId="16" fillId="7" borderId="160" xfId="0" applyFont="1" applyFill="1" applyBorder="1" applyAlignment="1">
      <alignment horizontal="center" wrapText="1"/>
    </xf>
    <xf numFmtId="0" fontId="16" fillId="21" borderId="160" xfId="0" applyFont="1" applyFill="1" applyBorder="1" applyAlignment="1">
      <alignment horizontal="center" wrapText="1"/>
    </xf>
    <xf numFmtId="3" fontId="16" fillId="21" borderId="160" xfId="0" applyNumberFormat="1" applyFont="1" applyFill="1" applyBorder="1" applyAlignment="1">
      <alignment horizontal="center" wrapText="1"/>
    </xf>
    <xf numFmtId="0" fontId="14" fillId="22" borderId="160" xfId="0" applyFont="1" applyFill="1" applyBorder="1" applyAlignment="1">
      <alignment horizontal="center" wrapText="1"/>
    </xf>
    <xf numFmtId="0" fontId="16" fillId="22" borderId="110" xfId="0" applyFont="1" applyFill="1" applyBorder="1" applyAlignment="1">
      <alignment horizontal="center" wrapText="1"/>
    </xf>
    <xf numFmtId="0" fontId="26" fillId="25" borderId="45" xfId="0" applyFont="1" applyFill="1" applyBorder="1"/>
    <xf numFmtId="0" fontId="26" fillId="25" borderId="15" xfId="0" applyFont="1" applyFill="1" applyBorder="1"/>
    <xf numFmtId="2" fontId="26" fillId="25" borderId="11" xfId="0" applyNumberFormat="1" applyFont="1" applyFill="1" applyBorder="1" applyAlignment="1">
      <alignment horizontal="center"/>
    </xf>
    <xf numFmtId="0" fontId="26" fillId="25" borderId="38" xfId="0" applyFont="1" applyFill="1" applyBorder="1"/>
    <xf numFmtId="0" fontId="10" fillId="5" borderId="106" xfId="0" applyFont="1" applyFill="1" applyBorder="1" applyAlignment="1">
      <alignment vertical="center"/>
    </xf>
    <xf numFmtId="0" fontId="10" fillId="5" borderId="106" xfId="0" applyFont="1" applyFill="1" applyBorder="1" applyAlignment="1">
      <alignment horizontal="center" vertical="center"/>
    </xf>
    <xf numFmtId="0" fontId="41" fillId="40" borderId="154" xfId="0" applyFont="1" applyFill="1" applyBorder="1" applyAlignment="1">
      <alignment horizontal="right" vertical="center" wrapText="1"/>
    </xf>
    <xf numFmtId="0" fontId="45" fillId="40" borderId="11" xfId="0" applyFont="1" applyFill="1" applyBorder="1" applyAlignment="1">
      <alignment vertical="center"/>
    </xf>
    <xf numFmtId="171" fontId="41" fillId="40" borderId="11" xfId="0" applyNumberFormat="1" applyFont="1" applyFill="1" applyBorder="1" applyAlignment="1">
      <alignment vertical="center"/>
    </xf>
    <xf numFmtId="171" fontId="41" fillId="40" borderId="144" xfId="0" applyNumberFormat="1" applyFont="1" applyFill="1" applyBorder="1" applyAlignment="1">
      <alignment vertical="center"/>
    </xf>
    <xf numFmtId="0" fontId="10" fillId="5" borderId="162" xfId="0" applyFont="1" applyFill="1" applyBorder="1" applyAlignment="1">
      <alignment vertical="center"/>
    </xf>
    <xf numFmtId="0" fontId="10" fillId="5" borderId="163" xfId="0" applyFont="1" applyFill="1" applyBorder="1" applyAlignment="1">
      <alignment horizontal="center" vertical="center"/>
    </xf>
    <xf numFmtId="0" fontId="41" fillId="5" borderId="91" xfId="0" applyFont="1" applyFill="1" applyBorder="1" applyAlignment="1">
      <alignment horizontal="center" vertical="center"/>
    </xf>
    <xf numFmtId="0" fontId="41" fillId="36" borderId="124" xfId="0" applyFont="1" applyFill="1" applyBorder="1" applyAlignment="1">
      <alignment horizontal="center" vertical="center" wrapText="1"/>
    </xf>
    <xf numFmtId="0" fontId="41" fillId="36" borderId="120" xfId="0" applyFont="1" applyFill="1" applyBorder="1" applyAlignment="1">
      <alignment horizontal="center" vertical="center" wrapText="1"/>
    </xf>
    <xf numFmtId="0" fontId="41" fillId="36" borderId="91" xfId="0" applyFont="1" applyFill="1" applyBorder="1" applyAlignment="1">
      <alignment horizontal="center" vertical="center" wrapText="1"/>
    </xf>
    <xf numFmtId="0" fontId="10" fillId="5" borderId="143" xfId="0" applyFont="1" applyFill="1" applyBorder="1" applyAlignment="1">
      <alignment horizontal="center" vertical="center"/>
    </xf>
    <xf numFmtId="0" fontId="12" fillId="9" borderId="154" xfId="0" applyFont="1" applyFill="1" applyBorder="1" applyAlignment="1">
      <alignment horizontal="right" vertical="center"/>
    </xf>
    <xf numFmtId="9" fontId="12" fillId="9" borderId="11" xfId="0" applyNumberFormat="1" applyFont="1" applyFill="1" applyBorder="1" applyAlignment="1">
      <alignment horizontal="center" vertical="center"/>
    </xf>
    <xf numFmtId="2" fontId="12" fillId="9" borderId="11" xfId="0" applyNumberFormat="1" applyFont="1" applyFill="1" applyBorder="1" applyAlignment="1">
      <alignment horizontal="right" vertical="center"/>
    </xf>
    <xf numFmtId="165" fontId="3" fillId="0" borderId="106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vertical="center"/>
    </xf>
    <xf numFmtId="165" fontId="3" fillId="0" borderId="100" xfId="0" applyNumberFormat="1" applyFont="1" applyBorder="1" applyAlignment="1">
      <alignment horizontal="center" vertical="center"/>
    </xf>
    <xf numFmtId="171" fontId="46" fillId="5" borderId="167" xfId="0" applyNumberFormat="1" applyFont="1" applyFill="1" applyBorder="1" applyAlignment="1">
      <alignment vertical="center"/>
    </xf>
    <xf numFmtId="0" fontId="41" fillId="16" borderId="167" xfId="0" applyFont="1" applyFill="1" applyBorder="1" applyAlignment="1">
      <alignment vertical="center" wrapText="1"/>
    </xf>
    <xf numFmtId="180" fontId="41" fillId="16" borderId="167" xfId="0" applyNumberFormat="1" applyFont="1" applyFill="1" applyBorder="1" applyAlignment="1">
      <alignment horizontal="right" vertical="center" wrapText="1"/>
    </xf>
    <xf numFmtId="0" fontId="10" fillId="5" borderId="127" xfId="0" applyFont="1" applyFill="1" applyBorder="1" applyAlignment="1">
      <alignment vertical="center"/>
    </xf>
    <xf numFmtId="171" fontId="46" fillId="5" borderId="168" xfId="0" applyNumberFormat="1" applyFont="1" applyFill="1" applyBorder="1" applyAlignment="1">
      <alignment vertical="center"/>
    </xf>
    <xf numFmtId="0" fontId="41" fillId="16" borderId="169" xfId="0" applyFont="1" applyFill="1" applyBorder="1" applyAlignment="1">
      <alignment vertical="center" wrapText="1"/>
    </xf>
    <xf numFmtId="180" fontId="41" fillId="16" borderId="168" xfId="0" applyNumberFormat="1" applyFont="1" applyFill="1" applyBorder="1" applyAlignment="1">
      <alignment horizontal="right" vertical="center" wrapText="1"/>
    </xf>
    <xf numFmtId="0" fontId="41" fillId="20" borderId="170" xfId="0" applyFont="1" applyFill="1" applyBorder="1" applyAlignment="1">
      <alignment vertical="center" wrapText="1"/>
    </xf>
    <xf numFmtId="0" fontId="41" fillId="20" borderId="171" xfId="0" applyFont="1" applyFill="1" applyBorder="1" applyAlignment="1">
      <alignment vertical="center" wrapText="1"/>
    </xf>
    <xf numFmtId="180" fontId="26" fillId="20" borderId="171" xfId="0" applyNumberFormat="1" applyFont="1" applyFill="1" applyBorder="1" applyAlignment="1">
      <alignment horizontal="right" vertical="center" wrapText="1"/>
    </xf>
    <xf numFmtId="180" fontId="41" fillId="20" borderId="171" xfId="0" applyNumberFormat="1" applyFont="1" applyFill="1" applyBorder="1" applyAlignment="1">
      <alignment horizontal="right" vertical="center" wrapText="1"/>
    </xf>
    <xf numFmtId="180" fontId="41" fillId="20" borderId="172" xfId="0" applyNumberFormat="1" applyFont="1" applyFill="1" applyBorder="1" applyAlignment="1">
      <alignment horizontal="right" vertical="center" wrapText="1"/>
    </xf>
    <xf numFmtId="0" fontId="12" fillId="9" borderId="106" xfId="0" applyFont="1" applyFill="1" applyBorder="1" applyAlignment="1">
      <alignment horizontal="center" vertical="center"/>
    </xf>
    <xf numFmtId="10" fontId="44" fillId="42" borderId="14" xfId="2" applyNumberFormat="1" applyFont="1" applyFill="1" applyBorder="1" applyAlignment="1" applyProtection="1">
      <alignment vertical="center"/>
    </xf>
    <xf numFmtId="0" fontId="10" fillId="5" borderId="154" xfId="0" applyFont="1" applyFill="1" applyBorder="1" applyAlignment="1">
      <alignment vertical="center" wrapText="1"/>
    </xf>
    <xf numFmtId="0" fontId="10" fillId="5" borderId="141" xfId="0" applyFont="1" applyFill="1" applyBorder="1" applyAlignment="1">
      <alignment vertical="center" wrapText="1"/>
    </xf>
    <xf numFmtId="4" fontId="0" fillId="0" borderId="0" xfId="0" applyNumberFormat="1"/>
    <xf numFmtId="185" fontId="7" fillId="0" borderId="0" xfId="0" applyNumberFormat="1" applyFont="1"/>
    <xf numFmtId="2" fontId="58" fillId="33" borderId="25" xfId="0" applyNumberFormat="1" applyFont="1" applyFill="1" applyBorder="1"/>
    <xf numFmtId="171" fontId="10" fillId="0" borderId="0" xfId="0" applyNumberFormat="1" applyFont="1"/>
    <xf numFmtId="43" fontId="38" fillId="2" borderId="73" xfId="0" applyNumberFormat="1" applyFont="1" applyFill="1" applyBorder="1" applyAlignment="1">
      <alignment horizontal="center" vertical="center"/>
    </xf>
    <xf numFmtId="180" fontId="10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18" fillId="9" borderId="39" xfId="0" applyFont="1" applyFill="1" applyBorder="1" applyAlignment="1">
      <alignment horizontal="center" vertical="center"/>
    </xf>
    <xf numFmtId="0" fontId="18" fillId="9" borderId="40" xfId="0" applyFont="1" applyFill="1" applyBorder="1" applyAlignment="1">
      <alignment horizontal="center" vertical="center"/>
    </xf>
    <xf numFmtId="0" fontId="18" fillId="9" borderId="52" xfId="0" applyFont="1" applyFill="1" applyBorder="1" applyAlignment="1">
      <alignment horizontal="center" vertical="center"/>
    </xf>
    <xf numFmtId="0" fontId="18" fillId="12" borderId="79" xfId="0" applyFont="1" applyFill="1" applyBorder="1" applyAlignment="1">
      <alignment horizontal="left" vertical="center"/>
    </xf>
    <xf numFmtId="0" fontId="18" fillId="12" borderId="1" xfId="0" applyFont="1" applyFill="1" applyBorder="1" applyAlignment="1">
      <alignment horizontal="left" vertical="center"/>
    </xf>
    <xf numFmtId="0" fontId="18" fillId="12" borderId="40" xfId="0" applyFont="1" applyFill="1" applyBorder="1" applyAlignment="1">
      <alignment horizontal="left" vertical="center"/>
    </xf>
    <xf numFmtId="0" fontId="18" fillId="12" borderId="41" xfId="0" applyFont="1" applyFill="1" applyBorder="1" applyAlignment="1">
      <alignment horizontal="left" vertical="center"/>
    </xf>
    <xf numFmtId="0" fontId="18" fillId="12" borderId="47" xfId="0" applyFont="1" applyFill="1" applyBorder="1" applyAlignment="1">
      <alignment horizontal="left" vertical="center"/>
    </xf>
    <xf numFmtId="0" fontId="18" fillId="12" borderId="52" xfId="0" applyFont="1" applyFill="1" applyBorder="1" applyAlignment="1">
      <alignment horizontal="left" vertical="center"/>
    </xf>
    <xf numFmtId="0" fontId="18" fillId="11" borderId="39" xfId="0" applyFont="1" applyFill="1" applyBorder="1" applyAlignment="1">
      <alignment horizontal="center" vertical="center"/>
    </xf>
    <xf numFmtId="0" fontId="18" fillId="11" borderId="40" xfId="0" applyFont="1" applyFill="1" applyBorder="1" applyAlignment="1">
      <alignment horizontal="center" vertical="center"/>
    </xf>
    <xf numFmtId="0" fontId="18" fillId="11" borderId="41" xfId="0" applyFont="1" applyFill="1" applyBorder="1" applyAlignment="1">
      <alignment horizontal="center" vertical="center"/>
    </xf>
    <xf numFmtId="0" fontId="18" fillId="9" borderId="41" xfId="0" applyFont="1" applyFill="1" applyBorder="1" applyAlignment="1">
      <alignment horizontal="center" vertical="center"/>
    </xf>
    <xf numFmtId="0" fontId="18" fillId="13" borderId="108" xfId="0" applyFont="1" applyFill="1" applyBorder="1" applyAlignment="1">
      <alignment horizontal="center" vertical="center"/>
    </xf>
    <xf numFmtId="0" fontId="18" fillId="13" borderId="109" xfId="0" applyFont="1" applyFill="1" applyBorder="1" applyAlignment="1">
      <alignment horizontal="center" vertical="center"/>
    </xf>
    <xf numFmtId="0" fontId="18" fillId="13" borderId="110" xfId="0" applyFont="1" applyFill="1" applyBorder="1" applyAlignment="1">
      <alignment horizontal="center" vertical="center"/>
    </xf>
    <xf numFmtId="0" fontId="18" fillId="14" borderId="113" xfId="0" applyFont="1" applyFill="1" applyBorder="1" applyAlignment="1">
      <alignment horizontal="left" vertical="center"/>
    </xf>
    <xf numFmtId="0" fontId="18" fillId="14" borderId="114" xfId="0" applyFont="1" applyFill="1" applyBorder="1" applyAlignment="1">
      <alignment horizontal="left" vertical="center"/>
    </xf>
    <xf numFmtId="0" fontId="18" fillId="14" borderId="115" xfId="0" applyFont="1" applyFill="1" applyBorder="1" applyAlignment="1">
      <alignment horizontal="left" vertical="center"/>
    </xf>
    <xf numFmtId="0" fontId="18" fillId="15" borderId="108" xfId="0" applyFont="1" applyFill="1" applyBorder="1" applyAlignment="1">
      <alignment horizontal="center" vertical="center"/>
    </xf>
    <xf numFmtId="0" fontId="18" fillId="15" borderId="109" xfId="0" applyFont="1" applyFill="1" applyBorder="1" applyAlignment="1">
      <alignment horizontal="center" vertical="center"/>
    </xf>
    <xf numFmtId="0" fontId="18" fillId="15" borderId="119" xfId="0" applyFont="1" applyFill="1" applyBorder="1" applyAlignment="1">
      <alignment horizontal="center" vertical="center"/>
    </xf>
    <xf numFmtId="0" fontId="18" fillId="15" borderId="39" xfId="0" applyFont="1" applyFill="1" applyBorder="1" applyAlignment="1">
      <alignment horizontal="center" vertical="center"/>
    </xf>
    <xf numFmtId="0" fontId="18" fillId="15" borderId="40" xfId="0" applyFont="1" applyFill="1" applyBorder="1" applyAlignment="1">
      <alignment horizontal="center" vertical="center"/>
    </xf>
    <xf numFmtId="0" fontId="18" fillId="15" borderId="41" xfId="0" applyFont="1" applyFill="1" applyBorder="1" applyAlignment="1">
      <alignment horizontal="center" vertical="center"/>
    </xf>
    <xf numFmtId="0" fontId="19" fillId="5" borderId="43" xfId="0" applyFont="1" applyFill="1" applyBorder="1" applyAlignment="1">
      <alignment horizontal="left" vertical="top"/>
    </xf>
    <xf numFmtId="0" fontId="14" fillId="5" borderId="3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0" fontId="12" fillId="16" borderId="47" xfId="4" applyNumberFormat="1" applyFont="1" applyFill="1" applyBorder="1" applyAlignment="1" applyProtection="1">
      <alignment horizontal="center" vertical="center"/>
    </xf>
    <xf numFmtId="0" fontId="12" fillId="17" borderId="40" xfId="0" applyFont="1" applyFill="1" applyBorder="1" applyAlignment="1">
      <alignment horizontal="center" vertical="center"/>
    </xf>
    <xf numFmtId="0" fontId="12" fillId="18" borderId="40" xfId="0" applyFont="1" applyFill="1" applyBorder="1" applyAlignment="1">
      <alignment horizontal="center" vertical="center"/>
    </xf>
    <xf numFmtId="0" fontId="12" fillId="19" borderId="40" xfId="0" applyFont="1" applyFill="1" applyBorder="1" applyAlignment="1">
      <alignment horizontal="center" vertical="center"/>
    </xf>
    <xf numFmtId="0" fontId="9" fillId="21" borderId="26" xfId="0" applyFont="1" applyFill="1" applyBorder="1" applyAlignment="1">
      <alignment horizontal="center" vertical="center" wrapText="1"/>
    </xf>
    <xf numFmtId="0" fontId="12" fillId="20" borderId="39" xfId="0" applyFont="1" applyFill="1" applyBorder="1" applyAlignment="1" applyProtection="1">
      <alignment horizontal="center" vertical="center"/>
      <protection locked="0"/>
    </xf>
    <xf numFmtId="0" fontId="12" fillId="20" borderId="40" xfId="0" applyFont="1" applyFill="1" applyBorder="1" applyAlignment="1" applyProtection="1">
      <alignment horizontal="center" vertical="center"/>
      <protection locked="0"/>
    </xf>
    <xf numFmtId="0" fontId="12" fillId="20" borderId="41" xfId="0" applyFont="1" applyFill="1" applyBorder="1" applyAlignment="1" applyProtection="1">
      <alignment horizontal="center" vertical="center"/>
      <protection locked="0"/>
    </xf>
    <xf numFmtId="0" fontId="9" fillId="7" borderId="41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37" fillId="2" borderId="72" xfId="0" applyFont="1" applyFill="1" applyBorder="1" applyAlignment="1">
      <alignment horizontal="center" vertical="center"/>
    </xf>
    <xf numFmtId="4" fontId="34" fillId="2" borderId="75" xfId="0" applyNumberFormat="1" applyFont="1" applyFill="1" applyBorder="1" applyAlignment="1">
      <alignment horizontal="center" vertical="center"/>
    </xf>
    <xf numFmtId="0" fontId="26" fillId="15" borderId="26" xfId="0" applyFont="1" applyFill="1" applyBorder="1" applyAlignment="1">
      <alignment horizontal="center" vertical="center" wrapText="1"/>
    </xf>
    <xf numFmtId="0" fontId="26" fillId="25" borderId="39" xfId="0" applyFont="1" applyFill="1" applyBorder="1" applyAlignment="1">
      <alignment horizontal="center" vertical="center" wrapText="1"/>
    </xf>
    <xf numFmtId="0" fontId="27" fillId="26" borderId="103" xfId="0" applyFont="1" applyFill="1" applyBorder="1" applyAlignment="1">
      <alignment horizontal="center" vertical="center" wrapText="1"/>
    </xf>
    <xf numFmtId="0" fontId="27" fillId="26" borderId="121" xfId="0" applyFont="1" applyFill="1" applyBorder="1" applyAlignment="1">
      <alignment horizontal="center" vertical="center" wrapText="1"/>
    </xf>
    <xf numFmtId="0" fontId="33" fillId="19" borderId="50" xfId="0" applyFont="1" applyFill="1" applyBorder="1" applyAlignment="1">
      <alignment horizontal="center" vertical="center"/>
    </xf>
    <xf numFmtId="0" fontId="12" fillId="22" borderId="26" xfId="0" applyFont="1" applyFill="1" applyBorder="1" applyAlignment="1">
      <alignment horizontal="center" vertical="center" wrapText="1"/>
    </xf>
    <xf numFmtId="0" fontId="9" fillId="22" borderId="26" xfId="0" applyFont="1" applyFill="1" applyBorder="1" applyAlignment="1">
      <alignment horizontal="center" vertical="center" wrapText="1"/>
    </xf>
    <xf numFmtId="0" fontId="26" fillId="23" borderId="26" xfId="0" applyFont="1" applyFill="1" applyBorder="1" applyAlignment="1">
      <alignment horizontal="center" vertical="center" wrapText="1"/>
    </xf>
    <xf numFmtId="0" fontId="26" fillId="24" borderId="48" xfId="0" applyFont="1" applyFill="1" applyBorder="1" applyAlignment="1">
      <alignment horizontal="center" vertical="center" wrapText="1"/>
    </xf>
    <xf numFmtId="0" fontId="16" fillId="21" borderId="26" xfId="0" applyFont="1" applyFill="1" applyBorder="1" applyAlignment="1">
      <alignment horizontal="center" vertical="center" wrapText="1"/>
    </xf>
    <xf numFmtId="0" fontId="12" fillId="32" borderId="39" xfId="0" applyFont="1" applyFill="1" applyBorder="1" applyAlignment="1" applyProtection="1">
      <alignment horizontal="center" vertical="center"/>
      <protection locked="0"/>
    </xf>
    <xf numFmtId="0" fontId="12" fillId="32" borderId="26" xfId="0" applyFont="1" applyFill="1" applyBorder="1" applyAlignment="1" applyProtection="1">
      <alignment horizontal="center" vertical="center"/>
      <protection locked="0"/>
    </xf>
    <xf numFmtId="0" fontId="9" fillId="7" borderId="39" xfId="0" applyFont="1" applyFill="1" applyBorder="1" applyAlignment="1">
      <alignment horizontal="center" vertical="center" wrapText="1"/>
    </xf>
    <xf numFmtId="0" fontId="28" fillId="33" borderId="40" xfId="0" applyFont="1" applyFill="1" applyBorder="1" applyAlignment="1">
      <alignment horizontal="center" vertical="center" wrapText="1"/>
    </xf>
    <xf numFmtId="0" fontId="28" fillId="33" borderId="27" xfId="0" applyFont="1" applyFill="1" applyBorder="1" applyAlignment="1">
      <alignment horizontal="center" vertical="center" wrapText="1"/>
    </xf>
    <xf numFmtId="0" fontId="28" fillId="24" borderId="52" xfId="0" applyFont="1" applyFill="1" applyBorder="1" applyAlignment="1">
      <alignment horizontal="center" vertical="center" wrapText="1"/>
    </xf>
    <xf numFmtId="0" fontId="9" fillId="17" borderId="77" xfId="0" applyFont="1" applyFill="1" applyBorder="1" applyAlignment="1">
      <alignment horizontal="center" vertical="center"/>
    </xf>
    <xf numFmtId="0" fontId="9" fillId="18" borderId="78" xfId="0" applyFont="1" applyFill="1" applyBorder="1" applyAlignment="1">
      <alignment horizontal="center" vertical="center"/>
    </xf>
    <xf numFmtId="0" fontId="9" fillId="19" borderId="48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 wrapText="1"/>
    </xf>
    <xf numFmtId="0" fontId="9" fillId="21" borderId="39" xfId="0" applyFont="1" applyFill="1" applyBorder="1" applyAlignment="1">
      <alignment horizontal="center" vertical="center" wrapText="1"/>
    </xf>
    <xf numFmtId="0" fontId="9" fillId="21" borderId="40" xfId="0" applyFont="1" applyFill="1" applyBorder="1" applyAlignment="1">
      <alignment horizontal="center" vertical="center" wrapText="1"/>
    </xf>
    <xf numFmtId="0" fontId="12" fillId="22" borderId="39" xfId="0" applyFont="1" applyFill="1" applyBorder="1" applyAlignment="1">
      <alignment horizontal="center" vertical="center" wrapText="1"/>
    </xf>
    <xf numFmtId="0" fontId="9" fillId="22" borderId="41" xfId="0" applyFont="1" applyFill="1" applyBorder="1" applyAlignment="1">
      <alignment horizontal="center" vertical="center" wrapText="1"/>
    </xf>
    <xf numFmtId="0" fontId="43" fillId="0" borderId="120" xfId="0" applyFont="1" applyBorder="1" applyAlignment="1">
      <alignment horizontal="center" vertical="center"/>
    </xf>
    <xf numFmtId="0" fontId="43" fillId="0" borderId="124" xfId="0" applyFont="1" applyBorder="1" applyAlignment="1">
      <alignment horizontal="center" vertical="center"/>
    </xf>
    <xf numFmtId="0" fontId="43" fillId="0" borderId="126" xfId="0" applyFont="1" applyBorder="1" applyAlignment="1">
      <alignment horizontal="center" vertical="center"/>
    </xf>
    <xf numFmtId="0" fontId="43" fillId="5" borderId="123" xfId="0" applyFont="1" applyFill="1" applyBorder="1" applyAlignment="1">
      <alignment horizontal="center" vertical="center"/>
    </xf>
    <xf numFmtId="0" fontId="43" fillId="5" borderId="0" xfId="0" applyFont="1" applyFill="1" applyAlignment="1">
      <alignment horizontal="center" vertical="center"/>
    </xf>
    <xf numFmtId="0" fontId="43" fillId="5" borderId="127" xfId="0" applyFont="1" applyFill="1" applyBorder="1" applyAlignment="1">
      <alignment horizontal="center" vertical="center"/>
    </xf>
    <xf numFmtId="0" fontId="12" fillId="9" borderId="145" xfId="0" applyFont="1" applyFill="1" applyBorder="1" applyAlignment="1">
      <alignment horizontal="center" vertical="center"/>
    </xf>
    <xf numFmtId="0" fontId="41" fillId="43" borderId="153" xfId="0" applyFont="1" applyFill="1" applyBorder="1" applyAlignment="1">
      <alignment horizontal="center" vertical="center" wrapText="1"/>
    </xf>
    <xf numFmtId="0" fontId="41" fillId="43" borderId="88" xfId="0" applyFont="1" applyFill="1" applyBorder="1" applyAlignment="1">
      <alignment horizontal="center" vertical="center" wrapText="1"/>
    </xf>
    <xf numFmtId="0" fontId="10" fillId="5" borderId="162" xfId="0" applyFont="1" applyFill="1" applyBorder="1" applyAlignment="1">
      <alignment horizontal="center" vertical="center"/>
    </xf>
    <xf numFmtId="0" fontId="10" fillId="5" borderId="106" xfId="0" applyFont="1" applyFill="1" applyBorder="1" applyAlignment="1">
      <alignment horizontal="center" vertical="center"/>
    </xf>
    <xf numFmtId="0" fontId="10" fillId="5" borderId="134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41" fillId="37" borderId="161" xfId="0" applyFont="1" applyFill="1" applyBorder="1" applyAlignment="1">
      <alignment horizontal="left" vertical="center" wrapText="1"/>
    </xf>
    <xf numFmtId="0" fontId="41" fillId="37" borderId="4" xfId="0" applyFont="1" applyFill="1" applyBorder="1" applyAlignment="1">
      <alignment horizontal="left" vertical="center" wrapText="1"/>
    </xf>
    <xf numFmtId="0" fontId="41" fillId="37" borderId="155" xfId="0" applyFont="1" applyFill="1" applyBorder="1" applyAlignment="1">
      <alignment horizontal="left" vertical="center" wrapText="1"/>
    </xf>
    <xf numFmtId="0" fontId="41" fillId="37" borderId="123" xfId="0" applyFont="1" applyFill="1" applyBorder="1" applyAlignment="1">
      <alignment horizontal="left" vertical="center" wrapText="1"/>
    </xf>
    <xf numFmtId="0" fontId="41" fillId="37" borderId="0" xfId="0" applyFont="1" applyFill="1" applyAlignment="1">
      <alignment horizontal="left" vertical="center" wrapText="1"/>
    </xf>
    <xf numFmtId="0" fontId="41" fillId="37" borderId="127" xfId="0" applyFont="1" applyFill="1" applyBorder="1" applyAlignment="1">
      <alignment horizontal="left" vertical="center" wrapText="1"/>
    </xf>
    <xf numFmtId="0" fontId="10" fillId="5" borderId="149" xfId="0" applyFont="1" applyFill="1" applyBorder="1" applyAlignment="1">
      <alignment horizontal="center" vertical="center"/>
    </xf>
    <xf numFmtId="0" fontId="10" fillId="5" borderId="52" xfId="0" applyFont="1" applyFill="1" applyBorder="1" applyAlignment="1">
      <alignment horizontal="center" vertical="center"/>
    </xf>
    <xf numFmtId="0" fontId="10" fillId="5" borderId="150" xfId="0" applyFont="1" applyFill="1" applyBorder="1" applyAlignment="1">
      <alignment horizontal="center" vertical="center"/>
    </xf>
    <xf numFmtId="0" fontId="10" fillId="5" borderId="12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5" borderId="127" xfId="0" applyFont="1" applyFill="1" applyBorder="1" applyAlignment="1">
      <alignment horizontal="center" vertical="center"/>
    </xf>
    <xf numFmtId="0" fontId="10" fillId="5" borderId="14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41" fillId="37" borderId="165" xfId="0" applyFont="1" applyFill="1" applyBorder="1" applyAlignment="1">
      <alignment horizontal="left" vertical="center" wrapText="1"/>
    </xf>
    <xf numFmtId="0" fontId="41" fillId="37" borderId="164" xfId="0" applyFont="1" applyFill="1" applyBorder="1" applyAlignment="1">
      <alignment horizontal="left" vertical="center" wrapText="1"/>
    </xf>
    <xf numFmtId="0" fontId="41" fillId="37" borderId="166" xfId="0" applyFont="1" applyFill="1" applyBorder="1" applyAlignment="1">
      <alignment horizontal="left" vertical="center" wrapText="1"/>
    </xf>
    <xf numFmtId="0" fontId="41" fillId="44" borderId="148" xfId="0" applyFont="1" applyFill="1" applyBorder="1" applyAlignment="1">
      <alignment horizontal="left" vertical="center" wrapText="1"/>
    </xf>
    <xf numFmtId="0" fontId="41" fillId="44" borderId="53" xfId="0" applyFont="1" applyFill="1" applyBorder="1" applyAlignment="1">
      <alignment horizontal="left" vertical="center" wrapText="1"/>
    </xf>
    <xf numFmtId="0" fontId="41" fillId="5" borderId="153" xfId="0" applyFont="1" applyFill="1" applyBorder="1" applyAlignment="1">
      <alignment horizontal="left" vertical="center" wrapText="1"/>
    </xf>
    <xf numFmtId="0" fontId="41" fillId="5" borderId="88" xfId="0" applyFont="1" applyFill="1" applyBorder="1" applyAlignment="1">
      <alignment horizontal="left" vertical="center" wrapText="1"/>
    </xf>
    <xf numFmtId="0" fontId="41" fillId="5" borderId="134" xfId="0" applyFont="1" applyFill="1" applyBorder="1" applyAlignment="1">
      <alignment horizontal="left" vertical="center" wrapText="1"/>
    </xf>
    <xf numFmtId="0" fontId="41" fillId="5" borderId="43" xfId="0" applyFont="1" applyFill="1" applyBorder="1" applyAlignment="1">
      <alignment horizontal="left" vertical="center" wrapText="1"/>
    </xf>
    <xf numFmtId="0" fontId="41" fillId="5" borderId="154" xfId="0" applyFont="1" applyFill="1" applyBorder="1" applyAlignment="1">
      <alignment horizontal="left" vertical="center" wrapText="1"/>
    </xf>
    <xf numFmtId="0" fontId="41" fillId="5" borderId="45" xfId="0" applyFont="1" applyFill="1" applyBorder="1" applyAlignment="1">
      <alignment horizontal="left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41" fillId="5" borderId="134" xfId="0" applyFont="1" applyFill="1" applyBorder="1" applyAlignment="1">
      <alignment horizontal="center" vertical="center" wrapText="1"/>
    </xf>
    <xf numFmtId="0" fontId="41" fillId="5" borderId="43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21" borderId="3" xfId="0" applyFont="1" applyFill="1" applyBorder="1" applyAlignment="1">
      <alignment horizontal="center" vertical="center" wrapText="1"/>
    </xf>
    <xf numFmtId="0" fontId="12" fillId="22" borderId="3" xfId="0" applyFont="1" applyFill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/>
    </xf>
    <xf numFmtId="0" fontId="43" fillId="5" borderId="32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41" fillId="37" borderId="69" xfId="0" applyFont="1" applyFill="1" applyBorder="1" applyAlignment="1">
      <alignment horizontal="left" vertical="center" wrapText="1"/>
    </xf>
    <xf numFmtId="0" fontId="41" fillId="37" borderId="14" xfId="0" applyFont="1" applyFill="1" applyBorder="1" applyAlignment="1">
      <alignment horizontal="left" vertical="center" wrapText="1"/>
    </xf>
    <xf numFmtId="0" fontId="41" fillId="37" borderId="34" xfId="0" applyFont="1" applyFill="1" applyBorder="1" applyAlignment="1">
      <alignment horizontal="left" vertical="center" wrapText="1"/>
    </xf>
    <xf numFmtId="0" fontId="41" fillId="37" borderId="44" xfId="0" applyFont="1" applyFill="1" applyBorder="1" applyAlignment="1">
      <alignment horizontal="left" vertical="center" wrapText="1"/>
    </xf>
    <xf numFmtId="0" fontId="12" fillId="9" borderId="26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41" fillId="5" borderId="84" xfId="0" applyFont="1" applyFill="1" applyBorder="1" applyAlignment="1">
      <alignment horizontal="left" vertical="center" wrapText="1"/>
    </xf>
    <xf numFmtId="0" fontId="12" fillId="32" borderId="27" xfId="0" applyFont="1" applyFill="1" applyBorder="1" applyAlignment="1" applyProtection="1">
      <alignment horizontal="center" vertical="center"/>
      <protection locked="0"/>
    </xf>
    <xf numFmtId="0" fontId="28" fillId="33" borderId="52" xfId="0" applyFont="1" applyFill="1" applyBorder="1" applyAlignment="1">
      <alignment horizontal="center" vertical="center" wrapText="1"/>
    </xf>
    <xf numFmtId="0" fontId="41" fillId="37" borderId="142" xfId="0" applyFont="1" applyFill="1" applyBorder="1" applyAlignment="1">
      <alignment vertical="center" wrapText="1"/>
    </xf>
    <xf numFmtId="0" fontId="41" fillId="37" borderId="14" xfId="0" applyFont="1" applyFill="1" applyBorder="1" applyAlignment="1">
      <alignment vertical="center" wrapText="1"/>
    </xf>
    <xf numFmtId="0" fontId="41" fillId="37" borderId="143" xfId="0" applyFont="1" applyFill="1" applyBorder="1" applyAlignment="1">
      <alignment vertical="center" wrapText="1"/>
    </xf>
    <xf numFmtId="0" fontId="10" fillId="5" borderId="149" xfId="0" applyFont="1" applyFill="1" applyBorder="1" applyAlignment="1">
      <alignment vertical="center"/>
    </xf>
    <xf numFmtId="0" fontId="10" fillId="5" borderId="52" xfId="0" applyFont="1" applyFill="1" applyBorder="1" applyAlignment="1">
      <alignment vertical="center"/>
    </xf>
    <xf numFmtId="0" fontId="10" fillId="5" borderId="150" xfId="0" applyFont="1" applyFill="1" applyBorder="1" applyAlignment="1">
      <alignment vertical="center"/>
    </xf>
    <xf numFmtId="0" fontId="10" fillId="5" borderId="15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10" fillId="5" borderId="152" xfId="0" applyFont="1" applyFill="1" applyBorder="1" applyAlignment="1">
      <alignment vertical="center"/>
    </xf>
    <xf numFmtId="0" fontId="41" fillId="37" borderId="156" xfId="0" applyFont="1" applyFill="1" applyBorder="1" applyAlignment="1">
      <alignment horizontal="center" vertical="center" wrapText="1"/>
    </xf>
    <xf numFmtId="0" fontId="41" fillId="37" borderId="101" xfId="0" applyFont="1" applyFill="1" applyBorder="1" applyAlignment="1">
      <alignment horizontal="center" vertical="center" wrapText="1"/>
    </xf>
    <xf numFmtId="0" fontId="41" fillId="37" borderId="157" xfId="0" applyFont="1" applyFill="1" applyBorder="1" applyAlignment="1">
      <alignment horizontal="center" vertical="center" wrapText="1"/>
    </xf>
  </cellXfs>
  <cellStyles count="5">
    <cellStyle name="Hyperlink 1" xfId="3"/>
    <cellStyle name="Normal" xfId="0" builtinId="0"/>
    <cellStyle name="Porcentagem" xfId="2" builtinId="5"/>
    <cellStyle name="TableStyleLight1" xfId="4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DDDDDD"/>
      <rgbColor rgb="FFFFFF00"/>
      <rgbColor rgb="FFF4B183"/>
      <rgbColor rgb="FFA9D08E"/>
      <rgbColor rgb="FFFACFD6"/>
      <rgbColor rgb="FF5EB91E"/>
      <rgbColor rgb="FFFCE4D6"/>
      <rgbColor rgb="FF70AD47"/>
      <rgbColor rgb="FFCCCCCC"/>
      <rgbColor rgb="FF8FAADC"/>
      <rgbColor rgb="FFC0C0C0"/>
      <rgbColor rgb="FF808080"/>
      <rgbColor rgb="FF8EA9DB"/>
      <rgbColor rgb="FFA1467E"/>
      <rgbColor rgb="FFFFFFCC"/>
      <rgbColor rgb="FFDEEBF7"/>
      <rgbColor rgb="FFD9D9D9"/>
      <rgbColor rgb="FFFA7070"/>
      <rgbColor rgb="FFADB9CA"/>
      <rgbColor rgb="FFCCCCFF"/>
      <rgbColor rgb="FFFFF2CC"/>
      <rgbColor rgb="FFC1C1C1"/>
      <rgbColor rgb="FFFFE699"/>
      <rgbColor rgb="FFB4C6E7"/>
      <rgbColor rgb="FFD0CECE"/>
      <rgbColor rgb="FFDBDBDB"/>
      <rgbColor rgb="FFA6A6A6"/>
      <rgbColor rgb="FFE7E6E6"/>
      <rgbColor rgb="FF00CCFF"/>
      <rgbColor rgb="FFD9E1F2"/>
      <rgbColor rgb="FFC6E0B4"/>
      <rgbColor rgb="FFFFFF99"/>
      <rgbColor rgb="FF9BC2E6"/>
      <rgbColor rgb="FFFF9999"/>
      <rgbColor rgb="FFCC99FF"/>
      <rgbColor rgb="FFFFCCCC"/>
      <rgbColor rgb="FF729FCF"/>
      <rgbColor rgb="FF5B9BD5"/>
      <rgbColor rgb="FFBBE33D"/>
      <rgbColor rgb="FFFFCC00"/>
      <rgbColor rgb="FFFE7528"/>
      <rgbColor rgb="FFF76304"/>
      <rgbColor rgb="FF5983B0"/>
      <rgbColor rgb="FF8497B0"/>
      <rgbColor rgb="FFB4C7DC"/>
      <rgbColor rgb="FF39914F"/>
      <rgbColor rgb="FFD6DCE4"/>
      <rgbColor rgb="FF444444"/>
      <rgbColor rgb="FF824802"/>
      <rgbColor rgb="FFBF819E"/>
      <rgbColor rgb="FF1B4E7E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3C0B"/>
  </sheetPr>
  <dimension ref="A1:AMK1048511"/>
  <sheetViews>
    <sheetView topLeftCell="B46" zoomScale="80" zoomScaleNormal="80" workbookViewId="0">
      <selection activeCell="H69" sqref="H69"/>
    </sheetView>
  </sheetViews>
  <sheetFormatPr defaultRowHeight="14.25" x14ac:dyDescent="0.2"/>
  <cols>
    <col min="1" max="1" width="4.375" style="1" customWidth="1"/>
    <col min="2" max="2" width="39.75" style="1" customWidth="1"/>
    <col min="3" max="3" width="11" style="1" customWidth="1"/>
    <col min="4" max="4" width="15.625" style="1" customWidth="1"/>
    <col min="5" max="5" width="10" style="2" customWidth="1"/>
    <col min="6" max="6" width="12.625" style="2" customWidth="1"/>
    <col min="7" max="7" width="22.25" style="2" customWidth="1"/>
    <col min="8" max="8" width="26.625" style="2" customWidth="1"/>
    <col min="9" max="9" width="12.75" style="2" customWidth="1"/>
    <col min="10" max="10" width="10.75" style="2" customWidth="1"/>
    <col min="11" max="11" width="8.875" style="2" customWidth="1"/>
    <col min="12" max="12" width="10.75" style="2" customWidth="1"/>
    <col min="13" max="13" width="11.625" style="2" customWidth="1"/>
    <col min="14" max="14" width="10.75" style="2" customWidth="1"/>
    <col min="15" max="15" width="8.875" style="1" customWidth="1"/>
    <col min="16" max="16" width="10.375" style="1" customWidth="1"/>
    <col min="17" max="17" width="6.625" style="1" customWidth="1"/>
    <col min="18" max="18" width="6.25" style="1" customWidth="1"/>
    <col min="19" max="20" width="11.125" style="1" customWidth="1"/>
    <col min="21" max="21" width="12.5" style="1" customWidth="1"/>
    <col min="22" max="22" width="3.75" style="1" customWidth="1"/>
    <col min="23" max="23" width="8.125" style="1" customWidth="1"/>
    <col min="24" max="24" width="8" style="1" customWidth="1"/>
    <col min="25" max="1025" width="10.5" style="1" customWidth="1"/>
  </cols>
  <sheetData>
    <row r="1" spans="1:12" ht="23.25" x14ac:dyDescent="0.2">
      <c r="A1" s="3"/>
      <c r="B1" s="786" t="s">
        <v>0</v>
      </c>
      <c r="C1" s="786"/>
      <c r="D1" s="786"/>
      <c r="E1" s="786"/>
      <c r="F1" s="786"/>
      <c r="G1" s="786"/>
      <c r="H1" s="786"/>
      <c r="I1" s="786"/>
      <c r="J1" s="786"/>
      <c r="K1" s="786"/>
      <c r="L1" s="786"/>
    </row>
    <row r="2" spans="1:12" x14ac:dyDescent="0.2">
      <c r="B2" s="4"/>
      <c r="C2" s="4"/>
      <c r="D2" s="4"/>
      <c r="E2" s="4"/>
    </row>
    <row r="3" spans="1:12" x14ac:dyDescent="0.2">
      <c r="B3" s="5" t="s">
        <v>1</v>
      </c>
      <c r="C3" s="787" t="s">
        <v>2</v>
      </c>
      <c r="D3" s="787"/>
      <c r="E3" s="6">
        <v>22</v>
      </c>
    </row>
    <row r="4" spans="1:12" x14ac:dyDescent="0.2">
      <c r="C4" s="788" t="s">
        <v>3</v>
      </c>
      <c r="D4" s="788"/>
      <c r="E4" s="7">
        <v>30</v>
      </c>
    </row>
    <row r="6" spans="1:12" ht="17.100000000000001" customHeight="1" x14ac:dyDescent="0.2">
      <c r="A6" s="3"/>
      <c r="B6" s="789" t="s">
        <v>4</v>
      </c>
      <c r="C6" s="789"/>
      <c r="D6" s="789"/>
      <c r="E6" s="789"/>
      <c r="F6" s="789"/>
      <c r="G6" s="789"/>
      <c r="H6" s="789"/>
      <c r="I6" s="789"/>
      <c r="J6" s="789"/>
      <c r="K6" s="789"/>
      <c r="L6" s="789"/>
    </row>
    <row r="7" spans="1:12" x14ac:dyDescent="0.2">
      <c r="B7" s="8" t="s">
        <v>5</v>
      </c>
      <c r="C7" s="9" t="s">
        <v>6</v>
      </c>
      <c r="D7" s="9" t="s">
        <v>7</v>
      </c>
      <c r="E7" s="10" t="s">
        <v>8</v>
      </c>
      <c r="G7" s="9" t="s">
        <v>9</v>
      </c>
      <c r="H7" s="9" t="s">
        <v>7</v>
      </c>
      <c r="I7" s="10" t="s">
        <v>8</v>
      </c>
    </row>
    <row r="8" spans="1:12" x14ac:dyDescent="0.2">
      <c r="C8" s="5" t="s">
        <v>10</v>
      </c>
      <c r="D8" s="11">
        <v>44927</v>
      </c>
      <c r="E8" s="12" t="s">
        <v>11</v>
      </c>
      <c r="G8" s="5" t="s">
        <v>12</v>
      </c>
      <c r="H8" s="11">
        <v>44927</v>
      </c>
      <c r="I8" s="12" t="s">
        <v>11</v>
      </c>
    </row>
    <row r="9" spans="1:12" x14ac:dyDescent="0.2">
      <c r="C9" s="18"/>
      <c r="D9" s="544"/>
      <c r="E9" s="545"/>
      <c r="G9" s="18"/>
      <c r="H9" s="544"/>
      <c r="I9" s="545"/>
    </row>
    <row r="10" spans="1:12" x14ac:dyDescent="0.2">
      <c r="C10" s="790" t="s">
        <v>13</v>
      </c>
      <c r="D10" s="790"/>
      <c r="E10" s="790"/>
      <c r="G10" s="790" t="s">
        <v>13</v>
      </c>
      <c r="H10" s="790"/>
      <c r="I10" s="790"/>
    </row>
    <row r="11" spans="1:12" x14ac:dyDescent="0.2">
      <c r="B11" s="8" t="s">
        <v>14</v>
      </c>
      <c r="C11" s="6">
        <v>44</v>
      </c>
      <c r="D11" s="6">
        <v>40</v>
      </c>
      <c r="E11" s="6">
        <v>30</v>
      </c>
      <c r="G11" s="6">
        <v>44</v>
      </c>
      <c r="H11" s="6">
        <v>40</v>
      </c>
      <c r="I11" s="6">
        <v>30</v>
      </c>
    </row>
    <row r="12" spans="1:12" x14ac:dyDescent="0.2">
      <c r="C12" s="761">
        <v>1440.84</v>
      </c>
      <c r="D12" s="761">
        <f>C12/C11*D11</f>
        <v>1309.8545454545454</v>
      </c>
      <c r="E12" s="761">
        <f>C12/220*180</f>
        <v>1178.8690909090908</v>
      </c>
      <c r="G12" s="14">
        <v>1401.16</v>
      </c>
      <c r="H12" s="14">
        <f>G12/G11*H11</f>
        <v>1273.7818181818184</v>
      </c>
      <c r="I12" s="14">
        <f>G12/220*180</f>
        <v>1146.4036363636365</v>
      </c>
    </row>
    <row r="13" spans="1:12" x14ac:dyDescent="0.2">
      <c r="B13" s="762" t="s">
        <v>15</v>
      </c>
      <c r="C13" s="760">
        <v>1970.62</v>
      </c>
      <c r="D13" s="763" t="s">
        <v>16</v>
      </c>
      <c r="E13" s="760"/>
      <c r="G13" s="760">
        <v>1916.35</v>
      </c>
      <c r="H13" s="763" t="s">
        <v>16</v>
      </c>
      <c r="I13" s="760"/>
    </row>
    <row r="14" spans="1:12" x14ac:dyDescent="0.2">
      <c r="C14" s="549"/>
      <c r="D14" s="550"/>
      <c r="E14" s="550"/>
    </row>
    <row r="15" spans="1:12" x14ac:dyDescent="0.2">
      <c r="B15" s="625" t="s">
        <v>17</v>
      </c>
      <c r="C15" s="626">
        <v>238.39</v>
      </c>
      <c r="D15" s="550"/>
      <c r="E15" s="550"/>
    </row>
    <row r="16" spans="1:12" x14ac:dyDescent="0.2">
      <c r="B16" s="13" t="s">
        <v>18</v>
      </c>
      <c r="C16" s="2"/>
      <c r="D16" s="550"/>
      <c r="E16" s="550"/>
    </row>
    <row r="17" spans="1:12" x14ac:dyDescent="0.2">
      <c r="B17" s="13"/>
      <c r="C17" s="2"/>
      <c r="D17" s="550"/>
      <c r="E17" s="550"/>
    </row>
    <row r="18" spans="1:12" ht="15.75" x14ac:dyDescent="0.2">
      <c r="A18" s="3"/>
      <c r="B18" s="789" t="s">
        <v>19</v>
      </c>
      <c r="C18" s="789"/>
      <c r="D18" s="789"/>
      <c r="E18" s="789"/>
      <c r="F18" s="789"/>
      <c r="G18" s="789"/>
      <c r="H18" s="789"/>
      <c r="I18" s="789"/>
      <c r="J18" s="789"/>
      <c r="K18" s="789"/>
      <c r="L18" s="789"/>
    </row>
    <row r="19" spans="1:12" ht="24" x14ac:dyDescent="0.2">
      <c r="B19" s="15" t="s">
        <v>20</v>
      </c>
      <c r="C19" s="16"/>
      <c r="D19" s="16" t="s">
        <v>21</v>
      </c>
      <c r="E19" s="17" t="s">
        <v>22</v>
      </c>
      <c r="G19" s="15" t="s">
        <v>23</v>
      </c>
      <c r="H19" s="16"/>
      <c r="I19" s="16" t="s">
        <v>21</v>
      </c>
      <c r="J19" s="17" t="s">
        <v>22</v>
      </c>
    </row>
    <row r="20" spans="1:12" x14ac:dyDescent="0.2">
      <c r="B20" s="18" t="s">
        <v>24</v>
      </c>
      <c r="C20" s="21">
        <f>21.27*E3</f>
        <v>467.94</v>
      </c>
      <c r="D20" s="20">
        <v>0.01</v>
      </c>
      <c r="E20" s="21">
        <f>ROUND(C20*(1-D20),2)</f>
        <v>463.26</v>
      </c>
      <c r="G20" s="18" t="s">
        <v>25</v>
      </c>
      <c r="H20" s="19">
        <f>21.27*E3</f>
        <v>467.94</v>
      </c>
      <c r="I20" s="20">
        <v>0.01</v>
      </c>
      <c r="J20" s="21">
        <f>ROUND(H20*(1-I20),2)</f>
        <v>463.26</v>
      </c>
    </row>
    <row r="21" spans="1:12" ht="17.100000000000001" customHeight="1" x14ac:dyDescent="0.2">
      <c r="B21" s="5" t="s">
        <v>26</v>
      </c>
      <c r="C21" s="22">
        <f>17.49*E3</f>
        <v>384.78</v>
      </c>
      <c r="D21" s="23">
        <f>D20</f>
        <v>0.01</v>
      </c>
      <c r="E21" s="21">
        <f>ROUND(C21*(1-D21),2)</f>
        <v>380.93</v>
      </c>
      <c r="G21" s="5" t="s">
        <v>27</v>
      </c>
      <c r="H21" s="22">
        <f>17.49*E3</f>
        <v>384.78</v>
      </c>
      <c r="I21" s="23">
        <v>0.01</v>
      </c>
      <c r="J21" s="21">
        <f>ROUND(H21*(1-I21),2)</f>
        <v>380.93</v>
      </c>
      <c r="K21" s="554"/>
    </row>
    <row r="22" spans="1:12" x14ac:dyDescent="0.2">
      <c r="B22" s="5" t="s">
        <v>28</v>
      </c>
      <c r="C22" s="22"/>
      <c r="D22" s="23">
        <v>0.06</v>
      </c>
      <c r="E22" s="22"/>
      <c r="G22" s="5" t="s">
        <v>28</v>
      </c>
      <c r="H22" s="22"/>
      <c r="I22" s="23">
        <v>0.06</v>
      </c>
      <c r="J22" s="22"/>
    </row>
    <row r="23" spans="1:12" ht="12.95" customHeight="1" x14ac:dyDescent="0.2">
      <c r="B23" s="5" t="s">
        <v>29</v>
      </c>
      <c r="C23" s="20">
        <v>7.0000000000000007E-2</v>
      </c>
      <c r="D23" s="21"/>
      <c r="E23" s="21"/>
      <c r="G23" s="5" t="s">
        <v>29</v>
      </c>
      <c r="H23" s="23">
        <v>7.0000000000000007E-2</v>
      </c>
      <c r="I23" s="23"/>
      <c r="J23" s="22"/>
    </row>
    <row r="24" spans="1:12" x14ac:dyDescent="0.2">
      <c r="B24" s="5" t="s">
        <v>30</v>
      </c>
      <c r="C24" s="21">
        <v>11</v>
      </c>
      <c r="D24" s="22"/>
      <c r="E24" s="21">
        <f>C24</f>
        <v>11</v>
      </c>
      <c r="G24" s="5" t="s">
        <v>30</v>
      </c>
      <c r="H24" s="21">
        <v>11</v>
      </c>
      <c r="I24" s="551"/>
      <c r="J24" s="21">
        <f>H24</f>
        <v>11</v>
      </c>
    </row>
    <row r="25" spans="1:12" x14ac:dyDescent="0.2">
      <c r="B25" s="24"/>
      <c r="C25" s="25"/>
      <c r="D25" s="14"/>
      <c r="E25" s="14"/>
      <c r="G25" s="24" t="s">
        <v>31</v>
      </c>
      <c r="H25" s="25"/>
      <c r="I25" s="14"/>
      <c r="J25" s="21">
        <v>200</v>
      </c>
    </row>
    <row r="26" spans="1:12" x14ac:dyDescent="0.2">
      <c r="D26" s="2"/>
      <c r="G26" s="24" t="s">
        <v>32</v>
      </c>
      <c r="H26" s="25"/>
      <c r="I26" s="14"/>
      <c r="J26" s="21">
        <v>150</v>
      </c>
    </row>
    <row r="27" spans="1:12" x14ac:dyDescent="0.2">
      <c r="D27" s="2"/>
      <c r="G27" s="552"/>
      <c r="H27" s="553"/>
      <c r="I27" s="550"/>
      <c r="J27" s="554"/>
    </row>
    <row r="28" spans="1:12" s="1" customFormat="1" ht="15.75" x14ac:dyDescent="0.2">
      <c r="A28" s="3"/>
      <c r="B28" s="789" t="s">
        <v>33</v>
      </c>
      <c r="C28" s="789"/>
      <c r="D28" s="789"/>
      <c r="E28" s="789"/>
      <c r="F28" s="789"/>
      <c r="G28" s="789"/>
      <c r="H28" s="789"/>
      <c r="I28" s="789"/>
      <c r="J28" s="789"/>
      <c r="K28" s="789"/>
      <c r="L28" s="789"/>
    </row>
    <row r="29" spans="1:12" s="1" customFormat="1" ht="12" x14ac:dyDescent="0.2">
      <c r="B29" s="791" t="s">
        <v>34</v>
      </c>
      <c r="C29" s="791"/>
      <c r="D29" s="791"/>
      <c r="E29" s="791"/>
      <c r="F29" s="791"/>
      <c r="G29" s="791"/>
      <c r="H29" s="791"/>
      <c r="I29" s="791"/>
      <c r="J29" s="791"/>
      <c r="K29" s="791"/>
      <c r="L29" s="791"/>
    </row>
    <row r="30" spans="1:12" s="1" customFormat="1" ht="12" x14ac:dyDescent="0.2">
      <c r="B30" s="792" t="s">
        <v>35</v>
      </c>
      <c r="C30" s="792"/>
      <c r="D30" s="792"/>
      <c r="E30" s="792"/>
      <c r="F30" s="792"/>
      <c r="G30" s="792"/>
      <c r="H30" s="792"/>
      <c r="I30" s="792"/>
      <c r="J30" s="792"/>
      <c r="K30" s="792"/>
      <c r="L30" s="792"/>
    </row>
    <row r="31" spans="1:12" s="1" customFormat="1" ht="12" x14ac:dyDescent="0.2">
      <c r="B31" s="791" t="s">
        <v>36</v>
      </c>
      <c r="C31" s="791"/>
      <c r="D31" s="791"/>
      <c r="E31" s="791"/>
      <c r="F31" s="791"/>
      <c r="G31" s="791"/>
      <c r="H31" s="791"/>
      <c r="I31" s="791"/>
      <c r="J31" s="791"/>
      <c r="K31" s="791"/>
      <c r="L31" s="791"/>
    </row>
    <row r="32" spans="1:12" s="1" customFormat="1" ht="12" x14ac:dyDescent="0.2">
      <c r="B32" s="793" t="s">
        <v>37</v>
      </c>
      <c r="C32" s="793"/>
      <c r="D32" s="793"/>
      <c r="E32" s="793"/>
      <c r="F32" s="793"/>
      <c r="G32" s="793"/>
      <c r="H32" s="793"/>
      <c r="I32" s="793"/>
      <c r="J32" s="793"/>
      <c r="K32" s="793"/>
      <c r="L32" s="793"/>
    </row>
    <row r="33" spans="1:14" s="1" customFormat="1" ht="12" x14ac:dyDescent="0.2">
      <c r="B33" s="791" t="s">
        <v>38</v>
      </c>
      <c r="C33" s="791"/>
      <c r="D33" s="791"/>
      <c r="E33" s="791"/>
      <c r="F33" s="791"/>
      <c r="G33" s="791"/>
      <c r="H33" s="791"/>
      <c r="I33" s="791"/>
      <c r="J33" s="791"/>
      <c r="K33" s="791"/>
      <c r="L33" s="791"/>
    </row>
    <row r="34" spans="1:14" s="1" customFormat="1" ht="12" x14ac:dyDescent="0.2">
      <c r="B34" s="794" t="s">
        <v>39</v>
      </c>
      <c r="C34" s="794"/>
      <c r="D34" s="794"/>
      <c r="E34" s="794"/>
      <c r="F34" s="794"/>
      <c r="G34" s="794"/>
      <c r="H34" s="794"/>
      <c r="I34" s="794"/>
      <c r="J34" s="794"/>
      <c r="K34" s="794"/>
      <c r="L34" s="794"/>
    </row>
    <row r="35" spans="1:14" s="1" customFormat="1" ht="12" x14ac:dyDescent="0.2">
      <c r="B35" s="793" t="s">
        <v>40</v>
      </c>
      <c r="C35" s="793"/>
      <c r="D35" s="793"/>
      <c r="E35" s="793"/>
      <c r="F35" s="793"/>
      <c r="G35" s="793"/>
      <c r="H35" s="793"/>
      <c r="I35" s="793"/>
      <c r="J35" s="793"/>
      <c r="K35" s="793"/>
      <c r="L35" s="793"/>
    </row>
    <row r="36" spans="1:14" s="1" customFormat="1" ht="12" x14ac:dyDescent="0.2">
      <c r="B36" s="793" t="s">
        <v>41</v>
      </c>
      <c r="C36" s="793"/>
      <c r="D36" s="793"/>
      <c r="E36" s="793"/>
      <c r="F36" s="793"/>
      <c r="G36" s="793"/>
      <c r="H36" s="793"/>
      <c r="I36" s="793"/>
      <c r="J36" s="793"/>
      <c r="K36" s="793"/>
      <c r="L36" s="793"/>
    </row>
    <row r="37" spans="1:14" s="1" customFormat="1" ht="12" x14ac:dyDescent="0.2">
      <c r="B37" s="791" t="s">
        <v>42</v>
      </c>
      <c r="C37" s="791"/>
      <c r="D37" s="791"/>
      <c r="E37" s="791"/>
      <c r="F37" s="791"/>
      <c r="G37" s="791"/>
      <c r="H37" s="791"/>
      <c r="I37" s="791"/>
      <c r="J37" s="791"/>
      <c r="K37" s="791"/>
      <c r="L37" s="791"/>
    </row>
    <row r="38" spans="1:14" s="1" customFormat="1" ht="12" x14ac:dyDescent="0.2">
      <c r="B38" s="793" t="s">
        <v>43</v>
      </c>
      <c r="C38" s="793"/>
      <c r="D38" s="793"/>
      <c r="E38" s="793"/>
      <c r="F38" s="793"/>
      <c r="G38" s="793"/>
      <c r="H38" s="793"/>
      <c r="I38" s="793"/>
      <c r="J38" s="793"/>
      <c r="K38" s="793"/>
      <c r="L38" s="793"/>
      <c r="N38" s="26"/>
    </row>
    <row r="39" spans="1:14" s="1" customFormat="1" ht="12" x14ac:dyDescent="0.2">
      <c r="D39" s="2"/>
      <c r="N39" s="26"/>
    </row>
    <row r="40" spans="1:14" ht="15.75" x14ac:dyDescent="0.2">
      <c r="A40" s="3"/>
      <c r="B40" s="789" t="s">
        <v>44</v>
      </c>
      <c r="C40" s="789"/>
      <c r="D40" s="789"/>
      <c r="E40" s="789"/>
      <c r="F40" s="789"/>
      <c r="G40" s="789"/>
      <c r="H40" s="789"/>
      <c r="I40" s="789"/>
      <c r="J40" s="789"/>
      <c r="K40" s="789"/>
      <c r="L40" s="789"/>
      <c r="M40" s="26"/>
      <c r="N40" s="26"/>
    </row>
    <row r="41" spans="1:14" x14ac:dyDescent="0.2">
      <c r="B41" s="791" t="s">
        <v>45</v>
      </c>
      <c r="C41" s="791"/>
      <c r="D41" s="791"/>
      <c r="E41" s="791"/>
      <c r="F41" s="791"/>
      <c r="G41" s="791"/>
      <c r="H41" s="791"/>
      <c r="I41" s="791"/>
      <c r="J41" s="791"/>
      <c r="K41" s="791"/>
      <c r="L41" s="791"/>
      <c r="M41" s="26"/>
      <c r="N41" s="26"/>
    </row>
    <row r="42" spans="1:14" ht="26.1" customHeight="1" x14ac:dyDescent="0.2">
      <c r="B42" s="27" t="s">
        <v>46</v>
      </c>
      <c r="C42" s="795" t="s">
        <v>47</v>
      </c>
      <c r="D42" s="795"/>
      <c r="E42" s="795"/>
      <c r="F42" s="795"/>
      <c r="G42" s="795"/>
      <c r="H42" s="795"/>
      <c r="I42" s="795"/>
      <c r="J42" s="795"/>
      <c r="K42" s="795"/>
      <c r="L42" s="795"/>
      <c r="M42" s="26"/>
      <c r="N42" s="26"/>
    </row>
    <row r="43" spans="1:14" ht="26.1" customHeight="1" x14ac:dyDescent="0.2">
      <c r="B43" s="28" t="s">
        <v>48</v>
      </c>
      <c r="C43" s="796" t="s">
        <v>49</v>
      </c>
      <c r="D43" s="796"/>
      <c r="E43" s="796"/>
      <c r="F43" s="796"/>
      <c r="G43" s="796"/>
      <c r="H43" s="796"/>
      <c r="I43" s="796"/>
      <c r="J43" s="796"/>
      <c r="K43" s="796"/>
      <c r="L43" s="796"/>
      <c r="M43" s="26"/>
      <c r="N43" s="26"/>
    </row>
    <row r="44" spans="1:14" x14ac:dyDescent="0.2">
      <c r="B44" s="29"/>
      <c r="C44" s="797" t="s">
        <v>50</v>
      </c>
      <c r="D44" s="797"/>
      <c r="E44" s="30">
        <v>1</v>
      </c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2">
      <c r="C45" s="797" t="s">
        <v>51</v>
      </c>
      <c r="D45" s="797"/>
      <c r="E45" s="30">
        <v>3.4931999999999999</v>
      </c>
      <c r="F45" s="26"/>
      <c r="G45" s="26" t="s">
        <v>52</v>
      </c>
      <c r="H45" s="26"/>
      <c r="I45" s="26"/>
      <c r="J45" s="26"/>
      <c r="K45" s="26"/>
      <c r="L45" s="26"/>
      <c r="M45" s="26"/>
      <c r="N45" s="26"/>
    </row>
    <row r="46" spans="1:14" x14ac:dyDescent="0.2">
      <c r="C46" s="797" t="s">
        <v>53</v>
      </c>
      <c r="D46" s="797"/>
      <c r="E46" s="30">
        <v>0.26879999999999998</v>
      </c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2">
      <c r="C47" s="797" t="s">
        <v>54</v>
      </c>
      <c r="D47" s="797"/>
      <c r="E47" s="30">
        <v>4.2700000000000002E-2</v>
      </c>
      <c r="F47" s="26"/>
      <c r="G47" s="26"/>
      <c r="H47" s="26"/>
      <c r="I47" s="26"/>
      <c r="J47" s="26"/>
      <c r="K47" s="26"/>
      <c r="L47" s="26"/>
      <c r="M47" s="26"/>
      <c r="N47" s="26"/>
    </row>
    <row r="48" spans="1:14" x14ac:dyDescent="0.2">
      <c r="C48" s="797" t="s">
        <v>55</v>
      </c>
      <c r="D48" s="797"/>
      <c r="E48" s="30">
        <v>3.5499999999999997E-2</v>
      </c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2">
      <c r="C49" s="797" t="s">
        <v>56</v>
      </c>
      <c r="D49" s="797"/>
      <c r="E49" s="31">
        <v>0.02</v>
      </c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2">
      <c r="C50" s="797" t="s">
        <v>57</v>
      </c>
      <c r="D50" s="797"/>
      <c r="E50" s="31">
        <v>4.0000000000000001E-3</v>
      </c>
      <c r="F50" s="26"/>
      <c r="G50" s="26"/>
      <c r="H50" s="26"/>
      <c r="I50" s="26"/>
      <c r="J50" s="26"/>
      <c r="K50" s="26"/>
      <c r="L50" s="26"/>
      <c r="M50" s="26"/>
      <c r="N50" s="26"/>
    </row>
    <row r="51" spans="1:14" x14ac:dyDescent="0.2">
      <c r="C51" s="797" t="s">
        <v>58</v>
      </c>
      <c r="D51" s="797"/>
      <c r="E51" s="30">
        <v>9.7999999999999997E-3</v>
      </c>
      <c r="F51" s="26"/>
      <c r="G51" s="26"/>
      <c r="H51" s="26"/>
      <c r="I51" s="26"/>
      <c r="J51" s="26"/>
      <c r="K51" s="26"/>
      <c r="L51" s="26"/>
      <c r="M51" s="26"/>
      <c r="N51" s="26"/>
    </row>
    <row r="52" spans="1:14" s="1" customFormat="1" ht="12" x14ac:dyDescent="0.2">
      <c r="C52" s="798" t="s">
        <v>59</v>
      </c>
      <c r="D52" s="798"/>
      <c r="E52" s="32">
        <f>SUM(E44:E51)</f>
        <v>4.8739999999999988</v>
      </c>
      <c r="M52" s="26"/>
      <c r="N52" s="26"/>
    </row>
    <row r="53" spans="1:14" x14ac:dyDescent="0.2">
      <c r="B53" s="33" t="s">
        <v>60</v>
      </c>
      <c r="C53" s="801" t="s">
        <v>61</v>
      </c>
      <c r="D53" s="801"/>
      <c r="E53" s="801"/>
      <c r="F53" s="801"/>
      <c r="G53" s="801"/>
      <c r="H53" s="801"/>
      <c r="I53" s="801"/>
      <c r="J53" s="801"/>
      <c r="K53" s="801"/>
      <c r="L53" s="801"/>
      <c r="M53" s="26"/>
      <c r="N53" s="26"/>
    </row>
    <row r="54" spans="1:14" x14ac:dyDescent="0.2">
      <c r="B54" s="793" t="s">
        <v>62</v>
      </c>
      <c r="C54" s="793"/>
      <c r="D54" s="793"/>
      <c r="E54" s="793"/>
      <c r="F54" s="34">
        <v>1.4999999999999999E-2</v>
      </c>
      <c r="G54" s="35"/>
      <c r="H54" s="35"/>
      <c r="I54" s="35"/>
      <c r="J54" s="35"/>
      <c r="K54" s="35"/>
      <c r="L54" s="36"/>
      <c r="M54" s="26"/>
      <c r="N54" s="26"/>
    </row>
    <row r="55" spans="1:14" ht="12.75" customHeight="1" x14ac:dyDescent="0.2">
      <c r="B55" s="37" t="s">
        <v>63</v>
      </c>
      <c r="C55" s="38">
        <v>0.51670000000000005</v>
      </c>
      <c r="D55" s="35"/>
      <c r="E55" s="35"/>
      <c r="F55" s="35"/>
      <c r="G55" s="35"/>
      <c r="H55" s="35"/>
      <c r="I55" s="35"/>
      <c r="J55" s="35"/>
      <c r="K55" s="35"/>
      <c r="L55" s="36"/>
      <c r="M55" s="26"/>
      <c r="N55" s="26"/>
    </row>
    <row r="56" spans="1:14" ht="26.1" customHeight="1" x14ac:dyDescent="0.2">
      <c r="B56" s="39" t="s">
        <v>64</v>
      </c>
      <c r="C56" s="802" t="s">
        <v>65</v>
      </c>
      <c r="D56" s="802"/>
      <c r="E56" s="802"/>
      <c r="F56" s="802"/>
      <c r="G56" s="802"/>
      <c r="H56" s="802"/>
      <c r="I56" s="802"/>
      <c r="J56" s="802"/>
      <c r="K56" s="802"/>
      <c r="L56" s="802"/>
      <c r="M56" s="26"/>
      <c r="N56" s="26"/>
    </row>
    <row r="57" spans="1:14" ht="12.75" customHeight="1" x14ac:dyDescent="0.2">
      <c r="B57" s="40" t="s">
        <v>66</v>
      </c>
      <c r="C57" s="41">
        <v>0.96589999999999998</v>
      </c>
      <c r="D57" s="42"/>
      <c r="E57" s="42"/>
      <c r="F57" s="42"/>
      <c r="G57" s="42"/>
      <c r="H57" s="42"/>
      <c r="I57" s="42"/>
      <c r="J57" s="42"/>
      <c r="K57" s="42"/>
      <c r="L57" s="43"/>
      <c r="M57" s="26"/>
      <c r="N57" s="26"/>
    </row>
    <row r="58" spans="1:14" x14ac:dyDescent="0.2">
      <c r="B58" s="803" t="s">
        <v>67</v>
      </c>
      <c r="C58" s="803"/>
      <c r="D58" s="803"/>
      <c r="E58" s="803"/>
      <c r="F58" s="803"/>
      <c r="G58" s="803"/>
      <c r="H58" s="803"/>
      <c r="I58" s="803"/>
      <c r="J58" s="803"/>
      <c r="K58" s="803"/>
      <c r="L58" s="803"/>
      <c r="M58" s="26"/>
      <c r="N58" s="26"/>
    </row>
    <row r="59" spans="1:14" ht="33" customHeight="1" x14ac:dyDescent="0.2">
      <c r="B59" s="44" t="s">
        <v>68</v>
      </c>
      <c r="C59" s="804" t="s">
        <v>69</v>
      </c>
      <c r="D59" s="804"/>
      <c r="E59" s="804"/>
      <c r="F59" s="804"/>
      <c r="G59" s="804"/>
      <c r="H59" s="804"/>
      <c r="I59" s="804"/>
      <c r="J59" s="804"/>
      <c r="K59" s="804"/>
      <c r="L59" s="804"/>
      <c r="M59" s="26"/>
      <c r="N59" s="26"/>
    </row>
    <row r="60" spans="1:14" ht="12.75" customHeight="1" x14ac:dyDescent="0.2">
      <c r="B60" s="45" t="s">
        <v>70</v>
      </c>
      <c r="C60" s="46">
        <v>0.48330000000000001</v>
      </c>
      <c r="D60" s="47"/>
      <c r="E60" s="47"/>
      <c r="F60" s="47"/>
      <c r="G60" s="47"/>
      <c r="H60" s="47"/>
      <c r="I60" s="47"/>
      <c r="J60" s="47"/>
      <c r="K60" s="47"/>
      <c r="L60" s="48"/>
      <c r="M60" s="26"/>
      <c r="N60" s="26"/>
    </row>
    <row r="61" spans="1:14" ht="12.75" customHeight="1" x14ac:dyDescent="0.2">
      <c r="B61" s="40" t="s">
        <v>71</v>
      </c>
      <c r="C61" s="41">
        <v>3.2000000000000002E-3</v>
      </c>
      <c r="D61" s="49"/>
      <c r="E61" s="42"/>
      <c r="F61" s="42"/>
      <c r="G61" s="42"/>
      <c r="H61" s="42"/>
      <c r="I61" s="42"/>
      <c r="J61" s="42"/>
      <c r="K61" s="42"/>
      <c r="L61" s="43"/>
      <c r="M61" s="26"/>
      <c r="N61" s="26"/>
    </row>
    <row r="62" spans="1:14" ht="12.75" customHeight="1" x14ac:dyDescent="0.2">
      <c r="B62" s="50"/>
      <c r="C62" s="51"/>
      <c r="D62" s="51"/>
      <c r="E62" s="50"/>
      <c r="F62" s="50"/>
      <c r="G62" s="50"/>
      <c r="H62" s="50"/>
      <c r="I62" s="50"/>
      <c r="J62" s="50"/>
      <c r="K62" s="50"/>
      <c r="L62" s="50"/>
      <c r="M62" s="26"/>
      <c r="N62" s="26"/>
    </row>
    <row r="63" spans="1:14" ht="12.75" customHeight="1" x14ac:dyDescent="0.2">
      <c r="A63" s="3"/>
      <c r="B63" s="799" t="s">
        <v>72</v>
      </c>
      <c r="C63" s="799"/>
      <c r="D63" s="799"/>
      <c r="E63" s="799"/>
      <c r="F63" s="799"/>
      <c r="G63" s="799"/>
      <c r="H63" s="799"/>
      <c r="I63" s="799"/>
      <c r="J63" s="799"/>
      <c r="K63" s="799"/>
      <c r="L63" s="799"/>
      <c r="M63" s="26"/>
      <c r="N63" s="26"/>
    </row>
    <row r="64" spans="1:14" ht="12.75" customHeight="1" x14ac:dyDescent="0.2">
      <c r="B64" s="52" t="s">
        <v>73</v>
      </c>
      <c r="C64" s="53">
        <v>0.06</v>
      </c>
      <c r="D64" s="51"/>
      <c r="E64" s="50"/>
      <c r="F64" s="50"/>
      <c r="G64" s="50"/>
      <c r="H64" s="50"/>
      <c r="I64" s="50"/>
      <c r="J64" s="50"/>
      <c r="K64" s="50"/>
      <c r="L64" s="50"/>
      <c r="M64" s="26"/>
      <c r="N64" s="26"/>
    </row>
    <row r="65" spans="1:14" ht="12.75" customHeight="1" x14ac:dyDescent="0.2">
      <c r="B65" s="28" t="s">
        <v>74</v>
      </c>
      <c r="C65" s="53">
        <v>6.7900000000000002E-2</v>
      </c>
      <c r="D65" s="51"/>
      <c r="E65" s="50"/>
      <c r="F65" s="50"/>
      <c r="G65" s="50"/>
      <c r="H65" s="50"/>
      <c r="I65" s="50"/>
      <c r="J65" s="50"/>
      <c r="K65" s="50"/>
      <c r="L65" s="50"/>
      <c r="M65" s="26"/>
      <c r="N65" s="26"/>
    </row>
    <row r="66" spans="1:14" x14ac:dyDescent="0.2">
      <c r="M66" s="26"/>
      <c r="N66" s="26"/>
    </row>
    <row r="67" spans="1:14" ht="15.75" x14ac:dyDescent="0.2">
      <c r="A67" s="3"/>
      <c r="B67" s="800" t="s">
        <v>75</v>
      </c>
      <c r="C67" s="800"/>
      <c r="D67" s="800"/>
      <c r="E67" s="800"/>
      <c r="F67" s="800"/>
      <c r="G67" s="800"/>
      <c r="H67" s="800"/>
      <c r="I67" s="800"/>
      <c r="J67" s="800"/>
      <c r="K67" s="800"/>
      <c r="L67" s="800"/>
    </row>
    <row r="68" spans="1:14" s="59" customFormat="1" ht="31.5" customHeight="1" x14ac:dyDescent="0.2">
      <c r="A68" s="54"/>
      <c r="B68" s="55" t="s">
        <v>76</v>
      </c>
      <c r="C68" s="56" t="s">
        <v>77</v>
      </c>
      <c r="D68" s="57" t="s">
        <v>78</v>
      </c>
      <c r="E68" s="727" t="s">
        <v>79</v>
      </c>
      <c r="F68" s="727" t="s">
        <v>80</v>
      </c>
      <c r="G68" s="727" t="s">
        <v>81</v>
      </c>
      <c r="H68" s="556" t="s">
        <v>82</v>
      </c>
      <c r="I68" s="560" t="s">
        <v>77</v>
      </c>
      <c r="J68" s="555" t="s">
        <v>78</v>
      </c>
      <c r="K68" s="727" t="s">
        <v>79</v>
      </c>
      <c r="L68" s="727" t="s">
        <v>80</v>
      </c>
      <c r="M68" s="728" t="s">
        <v>81</v>
      </c>
      <c r="N68" s="58"/>
    </row>
    <row r="69" spans="1:14" x14ac:dyDescent="0.2">
      <c r="B69" s="60" t="s">
        <v>83</v>
      </c>
      <c r="C69" s="61">
        <v>0.02</v>
      </c>
      <c r="D69" s="573">
        <v>4.4000000000000004</v>
      </c>
      <c r="E69" s="554">
        <f>SUM('Prod. GEXCHA'!N4:Q4)</f>
        <v>2</v>
      </c>
      <c r="F69" s="554">
        <f>E69</f>
        <v>2</v>
      </c>
      <c r="G69" s="554">
        <f>D69*F69</f>
        <v>8.8000000000000007</v>
      </c>
      <c r="H69" s="557" t="s">
        <v>84</v>
      </c>
      <c r="I69" s="561">
        <v>0.05</v>
      </c>
      <c r="J69" s="564">
        <v>4.45</v>
      </c>
      <c r="K69" s="729">
        <f>SUM('Prod. GEXCRI'!N4:Q4)</f>
        <v>8</v>
      </c>
      <c r="L69" s="730">
        <f>K69</f>
        <v>8</v>
      </c>
      <c r="M69" s="730">
        <f>J69*L69</f>
        <v>35.6</v>
      </c>
    </row>
    <row r="70" spans="1:14" x14ac:dyDescent="0.2">
      <c r="B70" s="62" t="s">
        <v>85</v>
      </c>
      <c r="C70" s="61">
        <v>0.02</v>
      </c>
      <c r="D70" s="573">
        <v>5</v>
      </c>
      <c r="E70" s="554">
        <f>SUM('Prod. GEXCHA'!N5:Q5)</f>
        <v>2</v>
      </c>
      <c r="F70" s="554">
        <f t="shared" ref="F70:F83" si="0">E70</f>
        <v>2</v>
      </c>
      <c r="G70" s="554">
        <f t="shared" ref="G70:G85" si="1">D70*F70</f>
        <v>10</v>
      </c>
      <c r="H70" s="558" t="s">
        <v>86</v>
      </c>
      <c r="I70" s="562">
        <v>0.05</v>
      </c>
      <c r="J70" s="564">
        <v>4.45</v>
      </c>
      <c r="K70" s="729">
        <f>SUM('Prod. GEXCRI'!N5:Q5)</f>
        <v>2</v>
      </c>
      <c r="L70" s="730">
        <f t="shared" ref="L70:L81" si="2">K70</f>
        <v>2</v>
      </c>
      <c r="M70" s="730">
        <f t="shared" ref="M70:M81" si="3">J70*L70</f>
        <v>8.9</v>
      </c>
    </row>
    <row r="71" spans="1:14" x14ac:dyDescent="0.2">
      <c r="B71" s="62" t="s">
        <v>87</v>
      </c>
      <c r="C71" s="61">
        <v>0.02</v>
      </c>
      <c r="D71" s="573">
        <f>D69</f>
        <v>4.4000000000000004</v>
      </c>
      <c r="E71" s="554">
        <f>SUM('Prod. GEXCHA'!N6:Q6)</f>
        <v>4</v>
      </c>
      <c r="F71" s="554">
        <f t="shared" si="0"/>
        <v>4</v>
      </c>
      <c r="G71" s="554">
        <f t="shared" si="1"/>
        <v>17.600000000000001</v>
      </c>
      <c r="H71" s="558" t="s">
        <v>88</v>
      </c>
      <c r="I71" s="562">
        <v>0.03</v>
      </c>
      <c r="J71" s="564"/>
      <c r="K71" s="729">
        <f>SUM('Prod. GEXCRI'!N6:Q6)</f>
        <v>4</v>
      </c>
      <c r="L71" s="730">
        <v>0</v>
      </c>
      <c r="M71" s="730">
        <f t="shared" si="3"/>
        <v>0</v>
      </c>
    </row>
    <row r="72" spans="1:14" x14ac:dyDescent="0.2">
      <c r="B72" s="62" t="s">
        <v>89</v>
      </c>
      <c r="C72" s="61">
        <v>0.03</v>
      </c>
      <c r="D72" s="573">
        <v>5</v>
      </c>
      <c r="E72" s="554">
        <f>SUM('Prod. GEXCHA'!N7:Q7)</f>
        <v>2</v>
      </c>
      <c r="F72" s="554">
        <f t="shared" si="0"/>
        <v>2</v>
      </c>
      <c r="G72" s="554">
        <f t="shared" si="1"/>
        <v>10</v>
      </c>
      <c r="H72" s="558" t="s">
        <v>90</v>
      </c>
      <c r="I72" s="562">
        <v>0.04</v>
      </c>
      <c r="J72" s="564"/>
      <c r="K72" s="729">
        <f>SUM('Prod. GEXCRI'!N7:Q7)</f>
        <v>2</v>
      </c>
      <c r="L72" s="730">
        <v>0</v>
      </c>
      <c r="M72" s="730">
        <f t="shared" si="3"/>
        <v>0</v>
      </c>
    </row>
    <row r="73" spans="1:14" x14ac:dyDescent="0.2">
      <c r="B73" s="62" t="s">
        <v>91</v>
      </c>
      <c r="C73" s="61">
        <v>0.03</v>
      </c>
      <c r="D73" s="573">
        <v>6</v>
      </c>
      <c r="E73" s="554">
        <f>SUM('Prod. GEXCHA'!N8:Q8)</f>
        <v>3</v>
      </c>
      <c r="F73" s="554">
        <f t="shared" si="0"/>
        <v>3</v>
      </c>
      <c r="G73" s="554">
        <f t="shared" si="1"/>
        <v>18</v>
      </c>
      <c r="H73" s="558" t="s">
        <v>92</v>
      </c>
      <c r="I73" s="562">
        <v>0.05</v>
      </c>
      <c r="J73" s="564">
        <v>4.5</v>
      </c>
      <c r="K73" s="729">
        <f>SUM('Prod. GEXCRI'!N8:Q8)</f>
        <v>1</v>
      </c>
      <c r="L73" s="730">
        <f t="shared" si="2"/>
        <v>1</v>
      </c>
      <c r="M73" s="730">
        <f t="shared" si="3"/>
        <v>4.5</v>
      </c>
    </row>
    <row r="74" spans="1:14" x14ac:dyDescent="0.2">
      <c r="B74" s="62" t="s">
        <v>93</v>
      </c>
      <c r="C74" s="61">
        <v>0.05</v>
      </c>
      <c r="D74" s="573">
        <v>3.5</v>
      </c>
      <c r="E74" s="554">
        <f>SUM('Prod. GEXCHA'!N9:Q9)</f>
        <v>2</v>
      </c>
      <c r="F74" s="554">
        <f t="shared" si="0"/>
        <v>2</v>
      </c>
      <c r="G74" s="554">
        <f t="shared" si="1"/>
        <v>7</v>
      </c>
      <c r="H74" s="558" t="s">
        <v>94</v>
      </c>
      <c r="I74" s="562">
        <v>0.04</v>
      </c>
      <c r="J74" s="564"/>
      <c r="K74" s="729">
        <f>SUM('Prod. GEXCRI'!N9:Q9)</f>
        <v>1</v>
      </c>
      <c r="L74" s="730">
        <v>0</v>
      </c>
      <c r="M74" s="730">
        <f t="shared" si="3"/>
        <v>0</v>
      </c>
    </row>
    <row r="75" spans="1:14" x14ac:dyDescent="0.2">
      <c r="B75" s="62" t="s">
        <v>95</v>
      </c>
      <c r="C75" s="61">
        <v>0.03</v>
      </c>
      <c r="D75" s="572"/>
      <c r="E75" s="554">
        <f>SUM('Prod. GEXCHA'!N10:Q10)</f>
        <v>1</v>
      </c>
      <c r="F75" s="554">
        <v>0</v>
      </c>
      <c r="G75" s="554">
        <f t="shared" si="1"/>
        <v>0</v>
      </c>
      <c r="H75" s="558" t="s">
        <v>96</v>
      </c>
      <c r="I75" s="562">
        <v>0.03</v>
      </c>
      <c r="J75" s="564">
        <v>5</v>
      </c>
      <c r="K75" s="729">
        <f>SUM('Prod. GEXCRI'!N10:Q10)</f>
        <v>6</v>
      </c>
      <c r="L75" s="730">
        <f t="shared" si="2"/>
        <v>6</v>
      </c>
      <c r="M75" s="730">
        <f t="shared" si="3"/>
        <v>30</v>
      </c>
    </row>
    <row r="76" spans="1:14" x14ac:dyDescent="0.2">
      <c r="B76" s="62" t="s">
        <v>97</v>
      </c>
      <c r="C76" s="61">
        <v>0.04</v>
      </c>
      <c r="D76" s="573">
        <v>4</v>
      </c>
      <c r="E76" s="554">
        <f>SUM('Prod. GEXCHA'!N11:Q11)</f>
        <v>2</v>
      </c>
      <c r="F76" s="554">
        <f t="shared" si="0"/>
        <v>2</v>
      </c>
      <c r="G76" s="554">
        <f t="shared" si="1"/>
        <v>8</v>
      </c>
      <c r="H76" s="558" t="s">
        <v>98</v>
      </c>
      <c r="I76" s="562">
        <v>0.03</v>
      </c>
      <c r="J76" s="569"/>
      <c r="K76" s="729">
        <f>SUM('Prod. GEXCRI'!N11:Q11)</f>
        <v>1</v>
      </c>
      <c r="L76" s="730">
        <v>0</v>
      </c>
      <c r="M76" s="730">
        <f t="shared" si="3"/>
        <v>0</v>
      </c>
    </row>
    <row r="77" spans="1:14" x14ac:dyDescent="0.2">
      <c r="B77" s="62" t="s">
        <v>99</v>
      </c>
      <c r="C77" s="61">
        <v>0.02</v>
      </c>
      <c r="D77" s="573">
        <v>5.75</v>
      </c>
      <c r="E77" s="554">
        <f>SUM('Prod. GEXCHA'!N12:Q12)</f>
        <v>3</v>
      </c>
      <c r="F77" s="554">
        <f t="shared" si="0"/>
        <v>3</v>
      </c>
      <c r="G77" s="554">
        <f t="shared" si="1"/>
        <v>17.25</v>
      </c>
      <c r="H77" s="558" t="s">
        <v>100</v>
      </c>
      <c r="I77" s="562">
        <v>0.05</v>
      </c>
      <c r="J77" s="570">
        <v>4.0999999999999996</v>
      </c>
      <c r="K77" s="729">
        <f>SUM('Prod. GEXCRI'!N12:Q12)</f>
        <v>1</v>
      </c>
      <c r="L77" s="730">
        <f t="shared" si="2"/>
        <v>1</v>
      </c>
      <c r="M77" s="730">
        <f t="shared" si="3"/>
        <v>4.0999999999999996</v>
      </c>
    </row>
    <row r="78" spans="1:14" x14ac:dyDescent="0.2">
      <c r="B78" s="62" t="s">
        <v>101</v>
      </c>
      <c r="C78" s="61">
        <v>0.03</v>
      </c>
      <c r="D78" s="573">
        <v>5</v>
      </c>
      <c r="E78" s="554">
        <f>SUM('Prod. GEXCHA'!N13:Q13)</f>
        <v>3</v>
      </c>
      <c r="F78" s="554">
        <f t="shared" si="0"/>
        <v>3</v>
      </c>
      <c r="G78" s="554">
        <f t="shared" si="1"/>
        <v>15</v>
      </c>
      <c r="H78" s="558" t="s">
        <v>102</v>
      </c>
      <c r="I78" s="562">
        <v>0.03</v>
      </c>
      <c r="J78" s="569"/>
      <c r="K78" s="729">
        <f>SUM('Prod. GEXCRI'!N13:Q13)</f>
        <v>1</v>
      </c>
      <c r="L78" s="730">
        <v>0</v>
      </c>
      <c r="M78" s="730">
        <f t="shared" si="3"/>
        <v>0</v>
      </c>
    </row>
    <row r="79" spans="1:14" x14ac:dyDescent="0.2">
      <c r="B79" s="62" t="s">
        <v>103</v>
      </c>
      <c r="C79" s="61">
        <v>0.03</v>
      </c>
      <c r="D79" s="573">
        <v>3.5</v>
      </c>
      <c r="E79" s="554">
        <f>SUM('Prod. GEXCHA'!N14:Q14)</f>
        <v>3</v>
      </c>
      <c r="F79" s="554">
        <f t="shared" si="0"/>
        <v>3</v>
      </c>
      <c r="G79" s="554">
        <f t="shared" si="1"/>
        <v>10.5</v>
      </c>
      <c r="H79" s="558" t="s">
        <v>104</v>
      </c>
      <c r="I79" s="562">
        <v>0.03</v>
      </c>
      <c r="J79" s="564"/>
      <c r="K79" s="729">
        <f>SUM('Prod. GEXCRI'!N14:Q14)</f>
        <v>2</v>
      </c>
      <c r="L79" s="730">
        <v>0</v>
      </c>
      <c r="M79" s="730">
        <f t="shared" si="3"/>
        <v>0</v>
      </c>
    </row>
    <row r="80" spans="1:14" x14ac:dyDescent="0.2">
      <c r="B80" s="62" t="s">
        <v>105</v>
      </c>
      <c r="C80" s="61">
        <v>0.03</v>
      </c>
      <c r="D80" s="573">
        <v>3.5</v>
      </c>
      <c r="E80" s="554">
        <f>SUM('Prod. GEXCHA'!N15:Q15)</f>
        <v>2</v>
      </c>
      <c r="F80" s="554">
        <f t="shared" si="0"/>
        <v>2</v>
      </c>
      <c r="G80" s="554">
        <f t="shared" si="1"/>
        <v>7</v>
      </c>
      <c r="H80" s="558" t="s">
        <v>106</v>
      </c>
      <c r="I80" s="562">
        <v>0.03</v>
      </c>
      <c r="J80" s="564">
        <v>5.15</v>
      </c>
      <c r="K80" s="729">
        <f>SUM('Prod. GEXCRI'!N15:Q15)</f>
        <v>2</v>
      </c>
      <c r="L80" s="730">
        <f t="shared" si="2"/>
        <v>2</v>
      </c>
      <c r="M80" s="730">
        <f t="shared" si="3"/>
        <v>10.3</v>
      </c>
    </row>
    <row r="81" spans="2:13" x14ac:dyDescent="0.2">
      <c r="B81" s="62" t="s">
        <v>107</v>
      </c>
      <c r="C81" s="61">
        <v>0.03</v>
      </c>
      <c r="D81" s="573">
        <v>5.5</v>
      </c>
      <c r="E81" s="554">
        <f>SUM('Prod. GEXCHA'!N16:Q16)</f>
        <v>2</v>
      </c>
      <c r="F81" s="554">
        <f t="shared" si="0"/>
        <v>2</v>
      </c>
      <c r="G81" s="554">
        <f t="shared" si="1"/>
        <v>11</v>
      </c>
      <c r="H81" s="559" t="s">
        <v>108</v>
      </c>
      <c r="I81" s="563">
        <v>0.05</v>
      </c>
      <c r="J81" s="571">
        <v>5</v>
      </c>
      <c r="K81" s="729">
        <f>SUM('Prod. GEXCRI'!N16:Q16)</f>
        <v>1</v>
      </c>
      <c r="L81" s="730">
        <f t="shared" si="2"/>
        <v>1</v>
      </c>
      <c r="M81" s="730">
        <f t="shared" si="3"/>
        <v>5</v>
      </c>
    </row>
    <row r="82" spans="2:13" x14ac:dyDescent="0.2">
      <c r="B82" s="62" t="s">
        <v>109</v>
      </c>
      <c r="C82" s="61">
        <v>0.02</v>
      </c>
      <c r="D82" s="573">
        <v>4.99</v>
      </c>
      <c r="E82" s="554">
        <f>SUM('Prod. GEXCHA'!N17:Q17)</f>
        <v>2</v>
      </c>
      <c r="F82" s="554">
        <f t="shared" si="0"/>
        <v>2</v>
      </c>
      <c r="G82" s="554">
        <f t="shared" si="1"/>
        <v>9.98</v>
      </c>
      <c r="H82" s="63" t="s">
        <v>110</v>
      </c>
      <c r="J82" s="565">
        <f>AVERAGE(J69:J81)</f>
        <v>4.6642857142857137</v>
      </c>
      <c r="K82" s="729">
        <f>SUM(K69:K81)</f>
        <v>32</v>
      </c>
      <c r="L82" s="730">
        <f>SUM(L69:L81)</f>
        <v>21</v>
      </c>
      <c r="M82" s="730">
        <f>SUM(M69:M81)</f>
        <v>98.399999999999991</v>
      </c>
    </row>
    <row r="83" spans="2:13" x14ac:dyDescent="0.2">
      <c r="B83" s="62" t="s">
        <v>111</v>
      </c>
      <c r="C83" s="61">
        <v>0.03</v>
      </c>
      <c r="D83" s="573">
        <v>5</v>
      </c>
      <c r="E83" s="554">
        <f>SUM('Prod. GEXCHA'!N18:Q18)</f>
        <v>2</v>
      </c>
      <c r="F83" s="554">
        <f t="shared" si="0"/>
        <v>2</v>
      </c>
      <c r="G83" s="554">
        <f t="shared" si="1"/>
        <v>10</v>
      </c>
      <c r="H83" s="566" t="s">
        <v>112</v>
      </c>
      <c r="I83" s="567"/>
      <c r="J83" s="568">
        <f>M82/K82</f>
        <v>3.0749999999999997</v>
      </c>
      <c r="K83" s="1"/>
      <c r="L83" s="1"/>
    </row>
    <row r="84" spans="2:13" x14ac:dyDescent="0.2">
      <c r="B84" s="62" t="s">
        <v>113</v>
      </c>
      <c r="C84" s="61">
        <v>0.03</v>
      </c>
      <c r="D84" s="574"/>
      <c r="E84" s="554">
        <f>SUM('Prod. GEXCHA'!N19:Q19)</f>
        <v>1</v>
      </c>
      <c r="F84" s="554">
        <v>0</v>
      </c>
      <c r="G84" s="554">
        <f t="shared" si="1"/>
        <v>0</v>
      </c>
      <c r="L84" s="575"/>
    </row>
    <row r="85" spans="2:13" x14ac:dyDescent="0.2">
      <c r="B85" s="62" t="s">
        <v>114</v>
      </c>
      <c r="C85" s="61">
        <v>0.03</v>
      </c>
      <c r="D85" s="574"/>
      <c r="E85" s="554">
        <f>SUM('Prod. GEXCHA'!N20:Q20)</f>
        <v>1</v>
      </c>
      <c r="F85" s="554">
        <v>0</v>
      </c>
      <c r="G85" s="554">
        <f t="shared" si="1"/>
        <v>0</v>
      </c>
    </row>
    <row r="86" spans="2:13" x14ac:dyDescent="0.2">
      <c r="B86" s="63" t="s">
        <v>110</v>
      </c>
      <c r="D86" s="64">
        <f>AVERAGE(D69:D85)</f>
        <v>4.6814285714285706</v>
      </c>
      <c r="E86" s="731">
        <f>SUM(E69:E85)-E83</f>
        <v>35</v>
      </c>
      <c r="F86" s="554">
        <f>SUM(F69:F85)-2</f>
        <v>32</v>
      </c>
      <c r="G86" s="727">
        <f>SUM(G69:G85)-G83</f>
        <v>150.13</v>
      </c>
    </row>
    <row r="87" spans="2:13" x14ac:dyDescent="0.2">
      <c r="B87" s="65" t="s">
        <v>112</v>
      </c>
      <c r="C87" s="66"/>
      <c r="D87" s="67">
        <f>G86/E86</f>
        <v>4.2894285714285711</v>
      </c>
    </row>
    <row r="88" spans="2:13" x14ac:dyDescent="0.2">
      <c r="E88" s="554"/>
    </row>
    <row r="89" spans="2:13" x14ac:dyDescent="0.2">
      <c r="B89" s="1" t="s">
        <v>115</v>
      </c>
    </row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1048497" ht="12.75" customHeight="1" x14ac:dyDescent="0.2"/>
    <row r="1048498" ht="12.75" customHeight="1" x14ac:dyDescent="0.2"/>
    <row r="1048499" ht="12.75" customHeight="1" x14ac:dyDescent="0.2"/>
    <row r="1048500" ht="12.75" customHeight="1" x14ac:dyDescent="0.2"/>
    <row r="1048501" ht="12.75" customHeight="1" x14ac:dyDescent="0.2"/>
    <row r="1048502" ht="12.75" customHeight="1" x14ac:dyDescent="0.2"/>
    <row r="1048503" ht="12.75" customHeight="1" x14ac:dyDescent="0.2"/>
    <row r="1048504" ht="12.75" customHeight="1" x14ac:dyDescent="0.2"/>
    <row r="1048505" ht="12.75" customHeight="1" x14ac:dyDescent="0.2"/>
    <row r="1048506" ht="12.75" customHeight="1" x14ac:dyDescent="0.2"/>
    <row r="1048507" ht="12.75" customHeight="1" x14ac:dyDescent="0.2"/>
    <row r="1048508" ht="12.75" customHeight="1" x14ac:dyDescent="0.2"/>
    <row r="1048509" ht="12.75" customHeight="1" x14ac:dyDescent="0.2"/>
    <row r="1048510" ht="12.75" customHeight="1" x14ac:dyDescent="0.2"/>
    <row r="1048511" ht="12.75" customHeight="1" x14ac:dyDescent="0.2"/>
  </sheetData>
  <mergeCells count="38">
    <mergeCell ref="B63:L63"/>
    <mergeCell ref="B67:L67"/>
    <mergeCell ref="C53:L53"/>
    <mergeCell ref="B54:E54"/>
    <mergeCell ref="C56:L56"/>
    <mergeCell ref="B58:L58"/>
    <mergeCell ref="C59:L59"/>
    <mergeCell ref="C48:D48"/>
    <mergeCell ref="C49:D49"/>
    <mergeCell ref="C50:D50"/>
    <mergeCell ref="C51:D51"/>
    <mergeCell ref="C52:D52"/>
    <mergeCell ref="C43:L43"/>
    <mergeCell ref="C44:D44"/>
    <mergeCell ref="C45:D45"/>
    <mergeCell ref="C46:D46"/>
    <mergeCell ref="C47:D47"/>
    <mergeCell ref="B37:L37"/>
    <mergeCell ref="B38:L38"/>
    <mergeCell ref="B40:L40"/>
    <mergeCell ref="B41:L41"/>
    <mergeCell ref="C42:L42"/>
    <mergeCell ref="B32:L32"/>
    <mergeCell ref="B33:L33"/>
    <mergeCell ref="B34:L34"/>
    <mergeCell ref="B35:L35"/>
    <mergeCell ref="B36:L36"/>
    <mergeCell ref="B18:L18"/>
    <mergeCell ref="B28:L28"/>
    <mergeCell ref="B29:L29"/>
    <mergeCell ref="B30:L30"/>
    <mergeCell ref="B31:L31"/>
    <mergeCell ref="B1:L1"/>
    <mergeCell ref="C3:D3"/>
    <mergeCell ref="C4:D4"/>
    <mergeCell ref="B6:L6"/>
    <mergeCell ref="C10:E10"/>
    <mergeCell ref="G10:I1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FD6"/>
  </sheetPr>
  <dimension ref="A1:AMG174"/>
  <sheetViews>
    <sheetView zoomScale="80" zoomScaleNormal="80" workbookViewId="0">
      <pane ySplit="10" topLeftCell="A11" activePane="bottomLeft" state="frozen"/>
      <selection activeCell="A11" sqref="A11"/>
      <selection pane="bottomLeft" activeCell="F132" sqref="F132:F133"/>
    </sheetView>
  </sheetViews>
  <sheetFormatPr defaultRowHeight="14.25" x14ac:dyDescent="0.2"/>
  <cols>
    <col min="1" max="1" width="53.75" style="332" customWidth="1"/>
    <col min="2" max="2" width="10" style="332" customWidth="1"/>
    <col min="3" max="3" width="13.375" style="332" customWidth="1"/>
    <col min="4" max="4" width="15.75" style="332" customWidth="1"/>
    <col min="5" max="5" width="15.375" style="332" customWidth="1"/>
    <col min="6" max="6" width="14.875" style="332" customWidth="1"/>
    <col min="7" max="1021" width="9" style="332" customWidth="1"/>
    <col min="1022" max="1025" width="8.375" customWidth="1"/>
  </cols>
  <sheetData>
    <row r="1" spans="1:1021" ht="15.75" x14ac:dyDescent="0.2">
      <c r="A1" s="869" t="s">
        <v>399</v>
      </c>
      <c r="B1" s="870"/>
      <c r="C1" s="870"/>
      <c r="D1" s="870"/>
      <c r="E1" s="871"/>
      <c r="AMG1"/>
    </row>
    <row r="2" spans="1:1021" ht="15.75" x14ac:dyDescent="0.2">
      <c r="A2" s="872" t="s">
        <v>400</v>
      </c>
      <c r="B2" s="873"/>
      <c r="C2" s="873"/>
      <c r="D2" s="873"/>
      <c r="E2" s="874"/>
      <c r="AMG2"/>
    </row>
    <row r="3" spans="1:1021" ht="15.75" customHeight="1" x14ac:dyDescent="0.2">
      <c r="A3" s="872" t="str">
        <f ca="1">'GEXCHA Limp.Ord. '!A3</f>
        <v>PROCESSO 35014.173954/2023-61</v>
      </c>
      <c r="B3" s="873"/>
      <c r="C3" s="873"/>
      <c r="D3" s="873"/>
      <c r="E3" s="874"/>
      <c r="AMG3"/>
    </row>
    <row r="4" spans="1:1021" ht="36" x14ac:dyDescent="0.2">
      <c r="A4" s="645"/>
      <c r="B4" s="340"/>
      <c r="C4" s="341" t="s">
        <v>401</v>
      </c>
      <c r="D4" s="342" t="s">
        <v>402</v>
      </c>
      <c r="E4" s="666" t="s">
        <v>403</v>
      </c>
      <c r="AMG4"/>
    </row>
    <row r="5" spans="1:1021" x14ac:dyDescent="0.2">
      <c r="A5" s="646"/>
      <c r="B5" s="345" t="s">
        <v>405</v>
      </c>
      <c r="C5" s="346">
        <f>MC!C12</f>
        <v>1440.84</v>
      </c>
      <c r="D5" s="347">
        <f>MC!E12</f>
        <v>1178.8690909090908</v>
      </c>
      <c r="E5" s="647">
        <f>MC!C12</f>
        <v>1440.84</v>
      </c>
      <c r="AMG5"/>
    </row>
    <row r="6" spans="1:1021" x14ac:dyDescent="0.2">
      <c r="A6" s="646"/>
      <c r="B6" s="345" t="s">
        <v>406</v>
      </c>
      <c r="C6" s="349">
        <f>MC!D8</f>
        <v>44927</v>
      </c>
      <c r="D6" s="350">
        <f>C6</f>
        <v>44927</v>
      </c>
      <c r="E6" s="648">
        <f>C6</f>
        <v>44927</v>
      </c>
      <c r="AMG6"/>
    </row>
    <row r="7" spans="1:1021" x14ac:dyDescent="0.2">
      <c r="A7" s="646"/>
      <c r="B7" s="345" t="s">
        <v>407</v>
      </c>
      <c r="C7" s="352" t="str">
        <f>MC!C8</f>
        <v xml:space="preserve"> SC000150/2023</v>
      </c>
      <c r="D7" s="353" t="str">
        <f>C7</f>
        <v xml:space="preserve"> SC000150/2023</v>
      </c>
      <c r="E7" s="649" t="str">
        <f>C7</f>
        <v xml:space="preserve"> SC000150/2023</v>
      </c>
      <c r="AMG7"/>
    </row>
    <row r="8" spans="1:1021" x14ac:dyDescent="0.2">
      <c r="A8" s="650"/>
      <c r="B8" s="651" t="s">
        <v>408</v>
      </c>
      <c r="C8" s="652" t="s">
        <v>11</v>
      </c>
      <c r="D8" s="653" t="s">
        <v>11</v>
      </c>
      <c r="E8" s="654" t="s">
        <v>11</v>
      </c>
      <c r="AMG8"/>
    </row>
    <row r="9" spans="1:1021" x14ac:dyDescent="0.2">
      <c r="A9" s="476"/>
      <c r="B9" s="476"/>
      <c r="C9" s="476"/>
      <c r="D9" s="476"/>
      <c r="E9" s="476"/>
      <c r="AMG9"/>
    </row>
    <row r="10" spans="1:1021" ht="66.75" customHeight="1" x14ac:dyDescent="0.2">
      <c r="A10" s="641" t="s">
        <v>409</v>
      </c>
      <c r="B10" s="642" t="s">
        <v>410</v>
      </c>
      <c r="C10" s="643" t="s">
        <v>411</v>
      </c>
      <c r="D10" s="643" t="s">
        <v>402</v>
      </c>
      <c r="E10" s="644" t="s">
        <v>403</v>
      </c>
      <c r="AMG10"/>
    </row>
    <row r="11" spans="1:1021" ht="15.75" customHeight="1" x14ac:dyDescent="0.2">
      <c r="A11" s="935" t="s">
        <v>413</v>
      </c>
      <c r="B11" s="936"/>
      <c r="C11" s="936"/>
      <c r="D11" s="936"/>
      <c r="E11" s="937"/>
      <c r="AMG11"/>
    </row>
    <row r="12" spans="1:1021" ht="15.75" customHeight="1" x14ac:dyDescent="0.2">
      <c r="A12" s="667" t="s">
        <v>414</v>
      </c>
      <c r="B12" s="612" t="s">
        <v>415</v>
      </c>
      <c r="C12" s="612" t="s">
        <v>416</v>
      </c>
      <c r="D12" s="612" t="s">
        <v>416</v>
      </c>
      <c r="E12" s="656"/>
      <c r="AMG12"/>
    </row>
    <row r="13" spans="1:1021" ht="15.75" customHeight="1" x14ac:dyDescent="0.2">
      <c r="A13" s="657" t="s">
        <v>417</v>
      </c>
      <c r="B13" s="363"/>
      <c r="C13" s="364">
        <f>C5</f>
        <v>1440.84</v>
      </c>
      <c r="D13" s="365">
        <f>D5</f>
        <v>1178.8690909090908</v>
      </c>
      <c r="E13" s="658">
        <f>E5</f>
        <v>1440.84</v>
      </c>
      <c r="AMG13"/>
    </row>
    <row r="14" spans="1:1021" ht="15.75" customHeight="1" x14ac:dyDescent="0.2">
      <c r="A14" s="657" t="s">
        <v>418</v>
      </c>
      <c r="B14" s="367">
        <v>0.2</v>
      </c>
      <c r="C14" s="364">
        <f>$B$14*C13</f>
        <v>288.16800000000001</v>
      </c>
      <c r="D14" s="364">
        <f t="shared" ref="D14" si="0">$B$14*D13</f>
        <v>235.77381818181817</v>
      </c>
      <c r="E14" s="658"/>
      <c r="AMG14"/>
    </row>
    <row r="15" spans="1:1021" ht="15.75" customHeight="1" x14ac:dyDescent="0.2">
      <c r="A15" s="657" t="s">
        <v>419</v>
      </c>
      <c r="B15" s="367"/>
      <c r="C15" s="364"/>
      <c r="D15" s="365"/>
      <c r="E15" s="658"/>
      <c r="AMG15"/>
    </row>
    <row r="16" spans="1:1021" ht="15.75" customHeight="1" x14ac:dyDescent="0.2">
      <c r="A16" s="657" t="s">
        <v>420</v>
      </c>
      <c r="B16" s="368"/>
      <c r="C16" s="364"/>
      <c r="D16" s="365"/>
      <c r="E16" s="658"/>
      <c r="AMG16"/>
    </row>
    <row r="17" spans="1:1021" ht="15.75" customHeight="1" x14ac:dyDescent="0.2">
      <c r="A17" s="657" t="s">
        <v>421</v>
      </c>
      <c r="B17" s="368"/>
      <c r="C17" s="364"/>
      <c r="D17" s="365"/>
      <c r="E17" s="658"/>
      <c r="AMG17"/>
    </row>
    <row r="18" spans="1:1021" ht="15.75" customHeight="1" x14ac:dyDescent="0.2">
      <c r="A18" s="657" t="s">
        <v>422</v>
      </c>
      <c r="B18" s="367">
        <v>0.3</v>
      </c>
      <c r="C18" s="364"/>
      <c r="D18" s="364"/>
      <c r="E18" s="658">
        <f>$B$18*E13</f>
        <v>432.25199999999995</v>
      </c>
      <c r="AMG18"/>
    </row>
    <row r="19" spans="1:1021" ht="15.75" customHeight="1" x14ac:dyDescent="0.2">
      <c r="A19" s="659" t="s">
        <v>423</v>
      </c>
      <c r="B19" s="660"/>
      <c r="C19" s="661">
        <f>SUM(C13:C18)</f>
        <v>1729.0079999999998</v>
      </c>
      <c r="D19" s="662">
        <f>SUM(D13:D18)</f>
        <v>1414.6429090909089</v>
      </c>
      <c r="E19" s="663">
        <f>SUM(E13:E18)</f>
        <v>1873.0919999999999</v>
      </c>
      <c r="AMG19"/>
    </row>
    <row r="20" spans="1:1021" ht="15.75" customHeight="1" x14ac:dyDescent="0.2">
      <c r="A20" s="894"/>
      <c r="B20" s="895"/>
      <c r="C20" s="664"/>
      <c r="D20" s="665"/>
      <c r="E20" s="668"/>
      <c r="AMG20"/>
    </row>
    <row r="21" spans="1:1021" ht="15.75" customHeight="1" x14ac:dyDescent="0.2">
      <c r="A21" s="926" t="s">
        <v>424</v>
      </c>
      <c r="B21" s="927"/>
      <c r="C21" s="927"/>
      <c r="D21" s="927"/>
      <c r="E21" s="928"/>
      <c r="AMG21"/>
    </row>
    <row r="22" spans="1:1021" ht="15.75" customHeight="1" x14ac:dyDescent="0.2">
      <c r="A22" s="669" t="s">
        <v>425</v>
      </c>
      <c r="B22" s="377" t="s">
        <v>415</v>
      </c>
      <c r="C22" s="377" t="s">
        <v>416</v>
      </c>
      <c r="D22" s="377" t="s">
        <v>416</v>
      </c>
      <c r="E22" s="670" t="s">
        <v>416</v>
      </c>
      <c r="AMG22"/>
    </row>
    <row r="23" spans="1:1021" ht="15.75" customHeight="1" x14ac:dyDescent="0.2">
      <c r="A23" s="671" t="s">
        <v>426</v>
      </c>
      <c r="B23" s="367">
        <f>1/12</f>
        <v>8.3333333333333329E-2</v>
      </c>
      <c r="C23" s="364">
        <f>ROUND($B23*C$19,2)</f>
        <v>144.08000000000001</v>
      </c>
      <c r="D23" s="364">
        <f>ROUND($B23*D$19,2)</f>
        <v>117.89</v>
      </c>
      <c r="E23" s="658">
        <f>ROUND($B23*E$19,2)</f>
        <v>156.09</v>
      </c>
      <c r="AMG23"/>
    </row>
    <row r="24" spans="1:1021" ht="15.75" customHeight="1" x14ac:dyDescent="0.2">
      <c r="A24" s="671" t="s">
        <v>427</v>
      </c>
      <c r="B24" s="367">
        <f>1/3*1/12</f>
        <v>2.7777777777777776E-2</v>
      </c>
      <c r="C24" s="364">
        <f>C$19*$B$24</f>
        <v>48.027999999999992</v>
      </c>
      <c r="D24" s="364">
        <f>D$19*$B$24</f>
        <v>39.295636363636355</v>
      </c>
      <c r="E24" s="658">
        <f>E$19*$B$24</f>
        <v>52.030333333333324</v>
      </c>
      <c r="AMG24"/>
    </row>
    <row r="25" spans="1:1021" ht="15.75" customHeight="1" x14ac:dyDescent="0.2">
      <c r="A25" s="672" t="s">
        <v>423</v>
      </c>
      <c r="B25" s="380">
        <f>SUM(B23:B24)</f>
        <v>0.1111111111111111</v>
      </c>
      <c r="C25" s="371">
        <f>SUM(C23:C24)</f>
        <v>192.108</v>
      </c>
      <c r="D25" s="371">
        <f>SUM(D23:D24)</f>
        <v>157.18563636363635</v>
      </c>
      <c r="E25" s="673">
        <f>SUM(E23:E24)</f>
        <v>208.12033333333332</v>
      </c>
      <c r="AMG25"/>
    </row>
    <row r="26" spans="1:1021" ht="15.75" customHeight="1" x14ac:dyDescent="0.2">
      <c r="A26" s="669" t="s">
        <v>428</v>
      </c>
      <c r="B26" s="377" t="s">
        <v>415</v>
      </c>
      <c r="C26" s="377" t="s">
        <v>416</v>
      </c>
      <c r="D26" s="377" t="s">
        <v>416</v>
      </c>
      <c r="E26" s="670" t="s">
        <v>416</v>
      </c>
      <c r="AMG26"/>
    </row>
    <row r="27" spans="1:1021" ht="15.75" customHeight="1" x14ac:dyDescent="0.2">
      <c r="A27" s="669" t="s">
        <v>429</v>
      </c>
      <c r="B27" s="381"/>
      <c r="C27" s="381"/>
      <c r="D27" s="381"/>
      <c r="E27" s="674"/>
      <c r="AMG27"/>
    </row>
    <row r="28" spans="1:1021" ht="15.75" customHeight="1" x14ac:dyDescent="0.2">
      <c r="A28" s="671" t="s">
        <v>430</v>
      </c>
      <c r="B28" s="367">
        <v>0.2</v>
      </c>
      <c r="C28" s="383">
        <f t="shared" ref="C28:C35" si="1">ROUND(($C$19+$C$25)*B28,2)</f>
        <v>384.22</v>
      </c>
      <c r="D28" s="383">
        <f t="shared" ref="D28:D35" si="2">ROUND(($D$19+$D$25)*B28,2)</f>
        <v>314.37</v>
      </c>
      <c r="E28" s="675">
        <f t="shared" ref="E28:E35" si="3">ROUND(($E$19+$E$25)*B28,2)</f>
        <v>416.24</v>
      </c>
      <c r="AMG28"/>
    </row>
    <row r="29" spans="1:1021" ht="15.75" customHeight="1" x14ac:dyDescent="0.2">
      <c r="A29" s="671" t="s">
        <v>431</v>
      </c>
      <c r="B29" s="367">
        <v>2.5000000000000001E-2</v>
      </c>
      <c r="C29" s="383">
        <f t="shared" si="1"/>
        <v>48.03</v>
      </c>
      <c r="D29" s="383">
        <f t="shared" si="2"/>
        <v>39.299999999999997</v>
      </c>
      <c r="E29" s="675">
        <f t="shared" si="3"/>
        <v>52.03</v>
      </c>
      <c r="AMG29"/>
    </row>
    <row r="30" spans="1:1021" ht="15.75" customHeight="1" x14ac:dyDescent="0.2">
      <c r="A30" s="671" t="s">
        <v>432</v>
      </c>
      <c r="B30" s="367">
        <v>0.03</v>
      </c>
      <c r="C30" s="383">
        <f t="shared" si="1"/>
        <v>57.63</v>
      </c>
      <c r="D30" s="383">
        <f t="shared" si="2"/>
        <v>47.15</v>
      </c>
      <c r="E30" s="675">
        <f t="shared" si="3"/>
        <v>62.44</v>
      </c>
      <c r="AMG30"/>
    </row>
    <row r="31" spans="1:1021" ht="15.75" customHeight="1" x14ac:dyDescent="0.2">
      <c r="A31" s="671" t="s">
        <v>433</v>
      </c>
      <c r="B31" s="367">
        <v>1.4999999999999999E-2</v>
      </c>
      <c r="C31" s="383">
        <f t="shared" si="1"/>
        <v>28.82</v>
      </c>
      <c r="D31" s="383">
        <f t="shared" si="2"/>
        <v>23.58</v>
      </c>
      <c r="E31" s="675">
        <f t="shared" si="3"/>
        <v>31.22</v>
      </c>
      <c r="AMG31"/>
    </row>
    <row r="32" spans="1:1021" ht="15.75" customHeight="1" x14ac:dyDescent="0.2">
      <c r="A32" s="671" t="s">
        <v>434</v>
      </c>
      <c r="B32" s="367">
        <v>0.01</v>
      </c>
      <c r="C32" s="383">
        <f t="shared" si="1"/>
        <v>19.21</v>
      </c>
      <c r="D32" s="383">
        <f t="shared" si="2"/>
        <v>15.72</v>
      </c>
      <c r="E32" s="675">
        <f t="shared" si="3"/>
        <v>20.81</v>
      </c>
      <c r="AMG32"/>
    </row>
    <row r="33" spans="1:1021" ht="15.75" customHeight="1" x14ac:dyDescent="0.2">
      <c r="A33" s="671" t="s">
        <v>435</v>
      </c>
      <c r="B33" s="367">
        <v>6.0000000000000001E-3</v>
      </c>
      <c r="C33" s="383">
        <f t="shared" si="1"/>
        <v>11.53</v>
      </c>
      <c r="D33" s="383">
        <f t="shared" si="2"/>
        <v>9.43</v>
      </c>
      <c r="E33" s="675">
        <f t="shared" si="3"/>
        <v>12.49</v>
      </c>
      <c r="AMG33"/>
    </row>
    <row r="34" spans="1:1021" ht="15.75" customHeight="1" x14ac:dyDescent="0.2">
      <c r="A34" s="671" t="s">
        <v>436</v>
      </c>
      <c r="B34" s="367">
        <v>2E-3</v>
      </c>
      <c r="C34" s="383">
        <f t="shared" si="1"/>
        <v>3.84</v>
      </c>
      <c r="D34" s="383">
        <f t="shared" si="2"/>
        <v>3.14</v>
      </c>
      <c r="E34" s="675">
        <f t="shared" si="3"/>
        <v>4.16</v>
      </c>
      <c r="AMG34"/>
    </row>
    <row r="35" spans="1:1021" ht="15.75" customHeight="1" x14ac:dyDescent="0.2">
      <c r="A35" s="671" t="s">
        <v>437</v>
      </c>
      <c r="B35" s="367">
        <v>0.08</v>
      </c>
      <c r="C35" s="383">
        <f t="shared" si="1"/>
        <v>153.69</v>
      </c>
      <c r="D35" s="383">
        <f t="shared" si="2"/>
        <v>125.75</v>
      </c>
      <c r="E35" s="675">
        <f t="shared" si="3"/>
        <v>166.5</v>
      </c>
      <c r="AMG35"/>
    </row>
    <row r="36" spans="1:1021" ht="15.75" customHeight="1" x14ac:dyDescent="0.2">
      <c r="A36" s="672" t="s">
        <v>423</v>
      </c>
      <c r="B36" s="380">
        <f>SUM(B28:B35)</f>
        <v>0.36800000000000005</v>
      </c>
      <c r="C36" s="371">
        <f>SUM(C27:C35)</f>
        <v>706.97</v>
      </c>
      <c r="D36" s="371">
        <f>SUM(D27:D35)</f>
        <v>578.44000000000005</v>
      </c>
      <c r="E36" s="673">
        <f>SUM(E28:E35)</f>
        <v>765.89</v>
      </c>
      <c r="AMG36"/>
    </row>
    <row r="37" spans="1:1021" ht="15.75" customHeight="1" x14ac:dyDescent="0.2">
      <c r="A37" s="669" t="s">
        <v>438</v>
      </c>
      <c r="B37" s="377" t="s">
        <v>439</v>
      </c>
      <c r="C37" s="377" t="s">
        <v>416</v>
      </c>
      <c r="D37" s="377" t="s">
        <v>416</v>
      </c>
      <c r="E37" s="670" t="s">
        <v>416</v>
      </c>
      <c r="AMG37"/>
    </row>
    <row r="38" spans="1:1021" ht="15.75" customHeight="1" x14ac:dyDescent="0.2">
      <c r="A38" s="671" t="s">
        <v>440</v>
      </c>
      <c r="B38" s="385">
        <f>MC!J83</f>
        <v>3.0749999999999997</v>
      </c>
      <c r="C38" s="364">
        <f>ROUND(((2*22*$B$38)-0.06*C$13),2)</f>
        <v>48.85</v>
      </c>
      <c r="D38" s="364">
        <f>ROUND(((2*22*$B$38)-0.06*D$13),2)</f>
        <v>64.569999999999993</v>
      </c>
      <c r="E38" s="658">
        <f>ROUND(((2*22*$B$38)-0.06*E$13),2)</f>
        <v>48.85</v>
      </c>
      <c r="AMG38"/>
    </row>
    <row r="39" spans="1:1021" ht="15.75" customHeight="1" x14ac:dyDescent="0.2">
      <c r="A39" s="671" t="s">
        <v>441</v>
      </c>
      <c r="B39" s="386"/>
      <c r="C39" s="383">
        <f>MC!E20</f>
        <v>463.26</v>
      </c>
      <c r="D39" s="383">
        <f>MC!E21</f>
        <v>380.93</v>
      </c>
      <c r="E39" s="675">
        <f>MC!E20</f>
        <v>463.26</v>
      </c>
      <c r="AMG39"/>
    </row>
    <row r="40" spans="1:1021" ht="15.75" customHeight="1" x14ac:dyDescent="0.2">
      <c r="A40" s="671" t="s">
        <v>442</v>
      </c>
      <c r="B40" s="367">
        <f>MC!C25</f>
        <v>0</v>
      </c>
      <c r="C40" s="383"/>
      <c r="D40" s="383"/>
      <c r="E40" s="675">
        <f>MC!E25</f>
        <v>0</v>
      </c>
      <c r="AMG40"/>
    </row>
    <row r="41" spans="1:1021" ht="15.75" customHeight="1" x14ac:dyDescent="0.2">
      <c r="A41" s="671" t="s">
        <v>443</v>
      </c>
      <c r="B41" s="387">
        <f>MC!E24</f>
        <v>11</v>
      </c>
      <c r="C41" s="383">
        <f>B41</f>
        <v>11</v>
      </c>
      <c r="D41" s="383">
        <f>B41</f>
        <v>11</v>
      </c>
      <c r="E41" s="675">
        <f>B41</f>
        <v>11</v>
      </c>
      <c r="AMG41"/>
    </row>
    <row r="42" spans="1:1021" ht="15.75" customHeight="1" x14ac:dyDescent="0.2">
      <c r="A42" s="671" t="s">
        <v>444</v>
      </c>
      <c r="B42" s="367">
        <f>MC!C23</f>
        <v>7.0000000000000007E-2</v>
      </c>
      <c r="C42" s="383">
        <f>$B$42*C19</f>
        <v>121.03055999999999</v>
      </c>
      <c r="D42" s="383">
        <f>$B$42*D19</f>
        <v>99.025003636363635</v>
      </c>
      <c r="E42" s="675">
        <f>$B$42*E19</f>
        <v>131.11644000000001</v>
      </c>
      <c r="AMG42"/>
    </row>
    <row r="43" spans="1:1021" ht="15.75" customHeight="1" x14ac:dyDescent="0.2">
      <c r="A43" s="671" t="s">
        <v>445</v>
      </c>
      <c r="B43" s="367"/>
      <c r="C43" s="383"/>
      <c r="D43" s="383"/>
      <c r="E43" s="675"/>
      <c r="AMG43"/>
    </row>
    <row r="44" spans="1:1021" ht="15.75" customHeight="1" x14ac:dyDescent="0.2">
      <c r="A44" s="672" t="s">
        <v>423</v>
      </c>
      <c r="B44" s="370"/>
      <c r="C44" s="371">
        <f>SUM(C38:C43)</f>
        <v>644.14056000000005</v>
      </c>
      <c r="D44" s="371">
        <f>SUM(D38:D43)</f>
        <v>555.52500363636364</v>
      </c>
      <c r="E44" s="673">
        <f>SUM(E38:E43)</f>
        <v>654.22644000000003</v>
      </c>
      <c r="AMG44"/>
    </row>
    <row r="45" spans="1:1021" ht="15.75" customHeight="1" x14ac:dyDescent="0.2">
      <c r="A45" s="655" t="s">
        <v>446</v>
      </c>
      <c r="B45" s="360" t="s">
        <v>415</v>
      </c>
      <c r="C45" s="360" t="s">
        <v>416</v>
      </c>
      <c r="D45" s="360" t="s">
        <v>416</v>
      </c>
      <c r="E45" s="676" t="s">
        <v>416</v>
      </c>
      <c r="AMG45"/>
    </row>
    <row r="46" spans="1:1021" ht="15.75" customHeight="1" x14ac:dyDescent="0.2">
      <c r="A46" s="671" t="s">
        <v>425</v>
      </c>
      <c r="B46" s="388">
        <f>B25</f>
        <v>0.1111111111111111</v>
      </c>
      <c r="C46" s="389">
        <f>C25</f>
        <v>192.108</v>
      </c>
      <c r="D46" s="389">
        <f>D25</f>
        <v>157.18563636363635</v>
      </c>
      <c r="E46" s="677">
        <f>E25</f>
        <v>208.12033333333332</v>
      </c>
      <c r="AMG46"/>
    </row>
    <row r="47" spans="1:1021" ht="15.75" customHeight="1" x14ac:dyDescent="0.2">
      <c r="A47" s="671" t="s">
        <v>447</v>
      </c>
      <c r="B47" s="388">
        <f>B36</f>
        <v>0.36800000000000005</v>
      </c>
      <c r="C47" s="389">
        <f>C36</f>
        <v>706.97</v>
      </c>
      <c r="D47" s="389">
        <f>D36</f>
        <v>578.44000000000005</v>
      </c>
      <c r="E47" s="677">
        <f>E36</f>
        <v>765.89</v>
      </c>
      <c r="AMG47"/>
    </row>
    <row r="48" spans="1:1021" ht="15.75" customHeight="1" x14ac:dyDescent="0.2">
      <c r="A48" s="671" t="s">
        <v>438</v>
      </c>
      <c r="B48" s="388"/>
      <c r="C48" s="389">
        <f>C44</f>
        <v>644.14056000000005</v>
      </c>
      <c r="D48" s="389">
        <f>D44</f>
        <v>555.52500363636364</v>
      </c>
      <c r="E48" s="677">
        <f>E44</f>
        <v>654.22644000000003</v>
      </c>
      <c r="AMG48"/>
    </row>
    <row r="49" spans="1:1021" ht="15.75" customHeight="1" x14ac:dyDescent="0.2">
      <c r="A49" s="672" t="s">
        <v>423</v>
      </c>
      <c r="B49" s="370"/>
      <c r="C49" s="371">
        <f>SUM(C46:C48)</f>
        <v>1543.21856</v>
      </c>
      <c r="D49" s="371">
        <f>SUM(D46:D48)</f>
        <v>1291.1506400000001</v>
      </c>
      <c r="E49" s="673">
        <f>SUM(E46:E48)</f>
        <v>1628.2367733333333</v>
      </c>
      <c r="AMG49"/>
    </row>
    <row r="50" spans="1:1021" ht="15.75" customHeight="1" x14ac:dyDescent="0.2">
      <c r="A50" s="880"/>
      <c r="B50" s="881"/>
      <c r="C50" s="374"/>
      <c r="D50" s="375"/>
      <c r="E50" s="679"/>
      <c r="AMG50"/>
    </row>
    <row r="51" spans="1:1021" s="391" customFormat="1" ht="15.75" customHeight="1" x14ac:dyDescent="0.2">
      <c r="A51" s="926" t="s">
        <v>448</v>
      </c>
      <c r="B51" s="927"/>
      <c r="C51" s="927"/>
      <c r="D51" s="927"/>
      <c r="E51" s="928"/>
    </row>
    <row r="52" spans="1:1021" ht="15.75" customHeight="1" x14ac:dyDescent="0.2">
      <c r="A52" s="655" t="s">
        <v>449</v>
      </c>
      <c r="B52" s="360" t="s">
        <v>415</v>
      </c>
      <c r="C52" s="360" t="s">
        <v>416</v>
      </c>
      <c r="D52" s="360" t="s">
        <v>416</v>
      </c>
      <c r="E52" s="676" t="s">
        <v>416</v>
      </c>
      <c r="AMG52"/>
    </row>
    <row r="53" spans="1:1021" ht="15.75" customHeight="1" x14ac:dyDescent="0.2">
      <c r="A53" s="669" t="s">
        <v>450</v>
      </c>
      <c r="B53" s="392"/>
      <c r="C53" s="392"/>
      <c r="D53" s="392"/>
      <c r="E53" s="680"/>
      <c r="AMG53"/>
    </row>
    <row r="54" spans="1:1021" ht="15.75" customHeight="1" x14ac:dyDescent="0.2">
      <c r="A54" s="671" t="s">
        <v>451</v>
      </c>
      <c r="B54" s="388">
        <f>1/12*0.05</f>
        <v>4.1666666666666666E-3</v>
      </c>
      <c r="C54" s="394">
        <f>C19*$B54</f>
        <v>7.2041999999999993</v>
      </c>
      <c r="D54" s="394">
        <f>D19*$B54</f>
        <v>5.8943454545454541</v>
      </c>
      <c r="E54" s="681">
        <f>E19*$B54</f>
        <v>7.804549999999999</v>
      </c>
      <c r="AMG54"/>
    </row>
    <row r="55" spans="1:1021" ht="15.75" customHeight="1" x14ac:dyDescent="0.2">
      <c r="A55" s="671" t="s">
        <v>452</v>
      </c>
      <c r="B55" s="388">
        <f>B35*B54</f>
        <v>3.3333333333333332E-4</v>
      </c>
      <c r="C55" s="394">
        <f>$B$55*C19</f>
        <v>0.57633599999999996</v>
      </c>
      <c r="D55" s="394">
        <f>$B$55*D19</f>
        <v>0.47154763636363628</v>
      </c>
      <c r="E55" s="681">
        <f>$B$55*E19</f>
        <v>0.62436399999999992</v>
      </c>
      <c r="AMG55"/>
    </row>
    <row r="56" spans="1:1021" ht="15.75" customHeight="1" x14ac:dyDescent="0.2">
      <c r="A56" s="671" t="s">
        <v>453</v>
      </c>
      <c r="B56" s="388">
        <v>0</v>
      </c>
      <c r="C56" s="394">
        <f>C35*$B56</f>
        <v>0</v>
      </c>
      <c r="D56" s="394">
        <f>D35*$B56</f>
        <v>0</v>
      </c>
      <c r="E56" s="681">
        <f>E35*$B56</f>
        <v>0</v>
      </c>
      <c r="AMG56"/>
    </row>
    <row r="57" spans="1:1021" ht="15.75" customHeight="1" x14ac:dyDescent="0.2">
      <c r="A57" s="671" t="s">
        <v>454</v>
      </c>
      <c r="B57" s="388">
        <f>1/12*1/30*7</f>
        <v>1.9444444444444441E-2</v>
      </c>
      <c r="C57" s="389">
        <f>C19*$B57</f>
        <v>33.619599999999991</v>
      </c>
      <c r="D57" s="389">
        <f>D19*$B57</f>
        <v>27.506945454545448</v>
      </c>
      <c r="E57" s="677">
        <f>E19*$B57</f>
        <v>36.421233333333326</v>
      </c>
      <c r="AMG57"/>
    </row>
    <row r="58" spans="1:1021" ht="15.75" customHeight="1" x14ac:dyDescent="0.2">
      <c r="A58" s="671" t="s">
        <v>455</v>
      </c>
      <c r="B58" s="388">
        <f>B36*B57</f>
        <v>7.1555555555555556E-3</v>
      </c>
      <c r="C58" s="389">
        <f>$B58*C19</f>
        <v>12.372012799999998</v>
      </c>
      <c r="D58" s="389">
        <f>$B58*D19</f>
        <v>10.122555927272726</v>
      </c>
      <c r="E58" s="677">
        <f>$B58*E19</f>
        <v>13.403013866666665</v>
      </c>
      <c r="AMG58"/>
    </row>
    <row r="59" spans="1:1021" ht="15.75" customHeight="1" x14ac:dyDescent="0.2">
      <c r="A59" s="671" t="s">
        <v>456</v>
      </c>
      <c r="B59" s="388">
        <f>B35*40/100*90/100*(1+1/12+1/12+1/3*1/12)</f>
        <v>3.4399999999999993E-2</v>
      </c>
      <c r="C59" s="389">
        <f>C19*$B59</f>
        <v>59.477875199999978</v>
      </c>
      <c r="D59" s="389">
        <f>D19*$B59</f>
        <v>48.663716072727254</v>
      </c>
      <c r="E59" s="677">
        <f>E19*$B59</f>
        <v>64.434364799999983</v>
      </c>
      <c r="AMG59"/>
    </row>
    <row r="60" spans="1:1021" ht="15.75" customHeight="1" x14ac:dyDescent="0.2">
      <c r="A60" s="672" t="s">
        <v>423</v>
      </c>
      <c r="B60" s="380">
        <f>SUM(B54:B59)</f>
        <v>6.5499999999999989E-2</v>
      </c>
      <c r="C60" s="395">
        <f>SUM(C54:C59)</f>
        <v>113.25002399999997</v>
      </c>
      <c r="D60" s="395">
        <f>SUM(D54:D59)</f>
        <v>92.659110545454524</v>
      </c>
      <c r="E60" s="682">
        <f>SUM(E54:E59)</f>
        <v>122.68752599999998</v>
      </c>
      <c r="AMG60"/>
    </row>
    <row r="61" spans="1:1021" ht="15.75" customHeight="1" x14ac:dyDescent="0.2">
      <c r="A61" s="880"/>
      <c r="B61" s="881"/>
      <c r="C61" s="397"/>
      <c r="D61" s="397"/>
      <c r="E61" s="683"/>
      <c r="AMG61"/>
    </row>
    <row r="62" spans="1:1021" ht="15.75" customHeight="1" x14ac:dyDescent="0.2">
      <c r="A62" s="926" t="s">
        <v>457</v>
      </c>
      <c r="B62" s="927"/>
      <c r="C62" s="927"/>
      <c r="D62" s="927"/>
      <c r="E62" s="928"/>
      <c r="AMG62"/>
    </row>
    <row r="63" spans="1:1021" ht="15.75" customHeight="1" x14ac:dyDescent="0.2">
      <c r="A63" s="669" t="s">
        <v>45</v>
      </c>
      <c r="B63" s="377"/>
      <c r="C63" s="377"/>
      <c r="D63" s="377"/>
      <c r="E63" s="670"/>
      <c r="AMG63"/>
    </row>
    <row r="64" spans="1:1021" ht="15.75" customHeight="1" x14ac:dyDescent="0.2">
      <c r="A64" s="671" t="s">
        <v>46</v>
      </c>
      <c r="B64" s="367">
        <f>1/12</f>
        <v>8.3333333333333329E-2</v>
      </c>
      <c r="C64" s="383">
        <f>$B64*(C$19+(C$49-C$38-C$39)+C$60)</f>
        <v>239.4472153333333</v>
      </c>
      <c r="D64" s="383">
        <f t="shared" ref="D64:E64" si="4">$B64*(D$19+(D$49-D$38-D$39)+D$60)</f>
        <v>196.07938830303027</v>
      </c>
      <c r="E64" s="675">
        <f t="shared" si="4"/>
        <v>259.3255249444444</v>
      </c>
      <c r="AMG64"/>
    </row>
    <row r="65" spans="1:1021" ht="15.75" customHeight="1" x14ac:dyDescent="0.2">
      <c r="A65" s="671" t="s">
        <v>458</v>
      </c>
      <c r="B65" s="367">
        <f>MC!E52/30/12</f>
        <v>1.3538888888888885E-2</v>
      </c>
      <c r="C65" s="383">
        <f t="shared" ref="C65:E67" si="5">$B65*(C$19+(C$49-C$38-C$39)+C$60)</f>
        <v>38.90219091782221</v>
      </c>
      <c r="D65" s="383">
        <f t="shared" si="5"/>
        <v>31.856364619632313</v>
      </c>
      <c r="E65" s="675">
        <f t="shared" si="5"/>
        <v>42.131753619307396</v>
      </c>
      <c r="AMG65"/>
    </row>
    <row r="66" spans="1:1021" ht="15.75" customHeight="1" x14ac:dyDescent="0.2">
      <c r="A66" s="671" t="s">
        <v>459</v>
      </c>
      <c r="B66" s="399">
        <f>(5/30)/12*MC!F54*MC!C55</f>
        <v>1.0764583333333333E-4</v>
      </c>
      <c r="C66" s="383">
        <f t="shared" si="5"/>
        <v>0.30930594040683329</v>
      </c>
      <c r="D66" s="383">
        <f t="shared" si="5"/>
        <v>0.25328554984043938</v>
      </c>
      <c r="E66" s="675">
        <f t="shared" si="5"/>
        <v>0.33498374684698612</v>
      </c>
      <c r="AMG66"/>
    </row>
    <row r="67" spans="1:1021" ht="15.75" customHeight="1" x14ac:dyDescent="0.2">
      <c r="A67" s="671" t="s">
        <v>460</v>
      </c>
      <c r="B67" s="399">
        <f>MC!C57/30/12</f>
        <v>2.6830555555555553E-3</v>
      </c>
      <c r="C67" s="383">
        <f t="shared" si="5"/>
        <v>7.7094021763488874</v>
      </c>
      <c r="D67" s="383">
        <f t="shared" si="5"/>
        <v>6.3131027053965649</v>
      </c>
      <c r="E67" s="675">
        <f t="shared" si="5"/>
        <v>8.3494174847946283</v>
      </c>
      <c r="AMG67"/>
    </row>
    <row r="68" spans="1:1021" ht="15.75" customHeight="1" x14ac:dyDescent="0.2">
      <c r="A68" s="671" t="s">
        <v>461</v>
      </c>
      <c r="B68" s="367"/>
      <c r="C68" s="383"/>
      <c r="D68" s="383"/>
      <c r="E68" s="675">
        <f>B68*($E$19+$E$49+$E$60)</f>
        <v>0</v>
      </c>
      <c r="AMG68"/>
    </row>
    <row r="69" spans="1:1021" ht="15.75" customHeight="1" x14ac:dyDescent="0.2">
      <c r="A69" s="684" t="s">
        <v>462</v>
      </c>
      <c r="B69" s="401">
        <f>SUM(B64:B68)</f>
        <v>9.9662923611111107E-2</v>
      </c>
      <c r="C69" s="402">
        <f>SUM(C64:C68)</f>
        <v>286.36811436791123</v>
      </c>
      <c r="D69" s="402">
        <f>SUM(D64:D68)</f>
        <v>234.50214117789957</v>
      </c>
      <c r="E69" s="685">
        <f>SUM(E64:E68)</f>
        <v>310.14167979539343</v>
      </c>
      <c r="AMG69"/>
    </row>
    <row r="70" spans="1:1021" ht="15.75" customHeight="1" x14ac:dyDescent="0.2">
      <c r="A70" s="669" t="s">
        <v>463</v>
      </c>
      <c r="B70" s="377"/>
      <c r="C70" s="377"/>
      <c r="D70" s="377"/>
      <c r="E70" s="670"/>
      <c r="AMG70"/>
    </row>
    <row r="71" spans="1:1021" ht="15.75" customHeight="1" x14ac:dyDescent="0.2">
      <c r="A71" s="671" t="s">
        <v>464</v>
      </c>
      <c r="B71" s="367"/>
      <c r="C71" s="383"/>
      <c r="D71" s="383"/>
      <c r="E71" s="675"/>
      <c r="AMG71"/>
    </row>
    <row r="72" spans="1:1021" ht="15.75" customHeight="1" x14ac:dyDescent="0.2">
      <c r="A72" s="684" t="s">
        <v>462</v>
      </c>
      <c r="B72" s="401"/>
      <c r="C72" s="402">
        <f>C71</f>
        <v>0</v>
      </c>
      <c r="D72" s="402"/>
      <c r="E72" s="685"/>
      <c r="AMG72"/>
    </row>
    <row r="73" spans="1:1021" ht="15.75" customHeight="1" x14ac:dyDescent="0.2">
      <c r="A73" s="669" t="s">
        <v>67</v>
      </c>
      <c r="B73" s="377"/>
      <c r="C73" s="377"/>
      <c r="D73" s="377"/>
      <c r="E73" s="670"/>
      <c r="AMG73"/>
    </row>
    <row r="74" spans="1:1021" ht="15.75" customHeight="1" x14ac:dyDescent="0.2">
      <c r="A74" s="671" t="s">
        <v>68</v>
      </c>
      <c r="B74" s="367">
        <f>120/30*MC!C60*MC!C61</f>
        <v>6.18624E-3</v>
      </c>
      <c r="C74" s="383">
        <f>(((C19*2)+ (C19*1/3))+(C36)+(C44-C38-C39))*$B$74</f>
        <v>30.147728540774395</v>
      </c>
      <c r="D74" s="383">
        <f>(((D19*2)+ (D19*1/3))+(D36)+(D44-D38-D39))*$B$74</f>
        <v>24.678757693942689</v>
      </c>
      <c r="E74" s="675">
        <f>(((E19*2)+ (E19*1/3))+(E36)+(E44-E38-E39))*$B$74</f>
        <v>32.654404618905602</v>
      </c>
      <c r="AMG74"/>
    </row>
    <row r="75" spans="1:1021" ht="15.75" customHeight="1" x14ac:dyDescent="0.2">
      <c r="A75" s="684" t="s">
        <v>423</v>
      </c>
      <c r="B75" s="401"/>
      <c r="C75" s="402"/>
      <c r="D75" s="402"/>
      <c r="E75" s="685"/>
      <c r="AMG75"/>
    </row>
    <row r="76" spans="1:1021" ht="15.75" customHeight="1" x14ac:dyDescent="0.2">
      <c r="A76" s="655" t="s">
        <v>465</v>
      </c>
      <c r="B76" s="360"/>
      <c r="C76" s="360"/>
      <c r="D76" s="360"/>
      <c r="E76" s="676"/>
      <c r="AMG76"/>
    </row>
    <row r="77" spans="1:1021" ht="15.75" customHeight="1" x14ac:dyDescent="0.2">
      <c r="A77" s="671" t="s">
        <v>45</v>
      </c>
      <c r="B77" s="388">
        <f>B69</f>
        <v>9.9662923611111107E-2</v>
      </c>
      <c r="C77" s="389">
        <f>C69</f>
        <v>286.36811436791123</v>
      </c>
      <c r="D77" s="389">
        <f>D69</f>
        <v>234.50214117789957</v>
      </c>
      <c r="E77" s="677">
        <f>E69</f>
        <v>310.14167979539343</v>
      </c>
      <c r="AMG77"/>
    </row>
    <row r="78" spans="1:1021" ht="15.75" customHeight="1" x14ac:dyDescent="0.2">
      <c r="A78" s="671" t="s">
        <v>463</v>
      </c>
      <c r="B78" s="388">
        <f>B72</f>
        <v>0</v>
      </c>
      <c r="C78" s="389">
        <f>C72</f>
        <v>0</v>
      </c>
      <c r="D78" s="389">
        <f>D72</f>
        <v>0</v>
      </c>
      <c r="E78" s="677">
        <f>E72</f>
        <v>0</v>
      </c>
      <c r="AMG78"/>
    </row>
    <row r="79" spans="1:1021" ht="15.75" customHeight="1" x14ac:dyDescent="0.2">
      <c r="A79" s="671" t="s">
        <v>67</v>
      </c>
      <c r="B79" s="388">
        <f>B74</f>
        <v>6.18624E-3</v>
      </c>
      <c r="C79" s="389">
        <f>C74</f>
        <v>30.147728540774395</v>
      </c>
      <c r="D79" s="389">
        <f>D74</f>
        <v>24.678757693942689</v>
      </c>
      <c r="E79" s="677">
        <f>E74</f>
        <v>32.654404618905602</v>
      </c>
      <c r="AMG79"/>
    </row>
    <row r="80" spans="1:1021" ht="15.75" customHeight="1" x14ac:dyDescent="0.2">
      <c r="A80" s="672" t="s">
        <v>423</v>
      </c>
      <c r="B80" s="370"/>
      <c r="C80" s="371">
        <f>SUM(C77:C79)</f>
        <v>316.51584290868561</v>
      </c>
      <c r="D80" s="371">
        <f>SUM(D77:D79)</f>
        <v>259.18089887184226</v>
      </c>
      <c r="E80" s="673">
        <f>SUM(E77:E79)</f>
        <v>342.796084414299</v>
      </c>
      <c r="AMG80"/>
    </row>
    <row r="81" spans="1:1021" ht="15.75" customHeight="1" x14ac:dyDescent="0.2">
      <c r="A81" s="678"/>
      <c r="B81" s="374"/>
      <c r="C81" s="374"/>
      <c r="D81" s="374"/>
      <c r="E81" s="679"/>
      <c r="AMG81"/>
    </row>
    <row r="82" spans="1:1021" ht="15.75" customHeight="1" x14ac:dyDescent="0.2">
      <c r="A82" s="926" t="s">
        <v>466</v>
      </c>
      <c r="B82" s="927"/>
      <c r="C82" s="927"/>
      <c r="D82" s="927"/>
      <c r="E82" s="928"/>
      <c r="AMG82"/>
    </row>
    <row r="83" spans="1:1021" ht="15.75" customHeight="1" x14ac:dyDescent="0.2">
      <c r="A83" s="655" t="s">
        <v>467</v>
      </c>
      <c r="B83" s="360" t="s">
        <v>439</v>
      </c>
      <c r="C83" s="360" t="s">
        <v>416</v>
      </c>
      <c r="D83" s="360" t="s">
        <v>416</v>
      </c>
      <c r="E83" s="676" t="s">
        <v>416</v>
      </c>
      <c r="AMG83"/>
    </row>
    <row r="84" spans="1:1021" ht="15.75" customHeight="1" x14ac:dyDescent="0.2">
      <c r="A84" s="671" t="s">
        <v>468</v>
      </c>
      <c r="B84" s="407">
        <f>Insumos!F110</f>
        <v>33.474166666666669</v>
      </c>
      <c r="C84" s="364">
        <f>B84</f>
        <v>33.474166666666669</v>
      </c>
      <c r="D84" s="364">
        <f>B84</f>
        <v>33.474166666666669</v>
      </c>
      <c r="E84" s="658">
        <f>B84</f>
        <v>33.474166666666669</v>
      </c>
      <c r="AMG84"/>
    </row>
    <row r="85" spans="1:1021" ht="15.75" customHeight="1" x14ac:dyDescent="0.2">
      <c r="A85" s="686" t="s">
        <v>469</v>
      </c>
      <c r="B85" s="407">
        <f>Insumos!E59</f>
        <v>512.71338333333324</v>
      </c>
      <c r="C85" s="364">
        <f>B85</f>
        <v>512.71338333333324</v>
      </c>
      <c r="D85" s="364">
        <f>B85</f>
        <v>512.71338333333324</v>
      </c>
      <c r="E85" s="658"/>
      <c r="AMG85"/>
    </row>
    <row r="86" spans="1:1021" ht="15.75" customHeight="1" x14ac:dyDescent="0.2">
      <c r="A86" s="686" t="s">
        <v>470</v>
      </c>
      <c r="B86" s="409">
        <f>Insumos!G100</f>
        <v>26.597232638888894</v>
      </c>
      <c r="C86" s="364">
        <f>B86</f>
        <v>26.597232638888894</v>
      </c>
      <c r="D86" s="364">
        <f>B86</f>
        <v>26.597232638888894</v>
      </c>
      <c r="E86" s="658"/>
      <c r="AMG86"/>
    </row>
    <row r="87" spans="1:1021" ht="15.75" customHeight="1" x14ac:dyDescent="0.2">
      <c r="A87" s="686" t="s">
        <v>471</v>
      </c>
      <c r="B87" s="407">
        <f>Insumos!G121</f>
        <v>6.11</v>
      </c>
      <c r="C87" s="364">
        <f>Insumos!G121</f>
        <v>6.11</v>
      </c>
      <c r="D87" s="364">
        <f>Insumos!F121</f>
        <v>6.11</v>
      </c>
      <c r="E87" s="658"/>
      <c r="AMG87"/>
    </row>
    <row r="88" spans="1:1021" ht="15.75" customHeight="1" x14ac:dyDescent="0.2">
      <c r="A88" s="686" t="s">
        <v>472</v>
      </c>
      <c r="B88" s="367">
        <v>0.12</v>
      </c>
      <c r="C88" s="364"/>
      <c r="D88" s="364"/>
      <c r="E88" s="658">
        <f>B88*(E119+E120+E84)</f>
        <v>424.17635279999996</v>
      </c>
      <c r="AMG88"/>
    </row>
    <row r="89" spans="1:1021" ht="15.75" customHeight="1" x14ac:dyDescent="0.2">
      <c r="A89" s="686" t="s">
        <v>541</v>
      </c>
      <c r="B89" s="407"/>
      <c r="C89" s="364"/>
      <c r="D89" s="364"/>
      <c r="E89" s="658"/>
      <c r="AMG89"/>
    </row>
    <row r="90" spans="1:1021" ht="15.75" customHeight="1" x14ac:dyDescent="0.2">
      <c r="A90" s="686" t="s">
        <v>474</v>
      </c>
      <c r="B90" s="407"/>
      <c r="C90" s="364"/>
      <c r="D90" s="364"/>
      <c r="E90" s="658"/>
      <c r="AMG90"/>
    </row>
    <row r="91" spans="1:1021" ht="15.75" customHeight="1" x14ac:dyDescent="0.2">
      <c r="A91" s="684" t="s">
        <v>423</v>
      </c>
      <c r="B91" s="410"/>
      <c r="C91" s="402">
        <f>SUM(C84:C90)</f>
        <v>578.89478263888873</v>
      </c>
      <c r="D91" s="402">
        <f>SUM(D84:D90)</f>
        <v>578.89478263888873</v>
      </c>
      <c r="E91" s="685">
        <f>SUM(E84:E90)</f>
        <v>457.65051946666665</v>
      </c>
      <c r="AMG91"/>
    </row>
    <row r="92" spans="1:1021" ht="15.75" customHeight="1" x14ac:dyDescent="0.2">
      <c r="A92" s="880"/>
      <c r="B92" s="881"/>
      <c r="C92" s="411"/>
      <c r="D92" s="411"/>
      <c r="E92" s="687"/>
      <c r="AMG92"/>
    </row>
    <row r="93" spans="1:1021" ht="15.75" customHeight="1" x14ac:dyDescent="0.2">
      <c r="A93" s="926" t="s">
        <v>475</v>
      </c>
      <c r="B93" s="927"/>
      <c r="C93" s="927"/>
      <c r="D93" s="927"/>
      <c r="E93" s="928"/>
      <c r="AMG93"/>
    </row>
    <row r="94" spans="1:1021" ht="15.75" customHeight="1" x14ac:dyDescent="0.2">
      <c r="A94" s="655" t="s">
        <v>476</v>
      </c>
      <c r="B94" s="360" t="s">
        <v>415</v>
      </c>
      <c r="C94" s="360" t="s">
        <v>416</v>
      </c>
      <c r="D94" s="360" t="s">
        <v>416</v>
      </c>
      <c r="E94" s="676" t="s">
        <v>416</v>
      </c>
      <c r="AMG94"/>
    </row>
    <row r="95" spans="1:1021" ht="15.75" customHeight="1" x14ac:dyDescent="0.2">
      <c r="A95" s="657" t="s">
        <v>73</v>
      </c>
      <c r="B95" s="367">
        <f>MC!C64</f>
        <v>0.06</v>
      </c>
      <c r="C95" s="383">
        <f>($C$19+$C$49+$C$60+$C$80+$C$91)*$B$95</f>
        <v>256.85323257285444</v>
      </c>
      <c r="D95" s="383">
        <f>($D$19+$D$49+$D$60+$D$80+$D$91)*$B$95</f>
        <v>218.19170046882567</v>
      </c>
      <c r="E95" s="675">
        <f>($E$19+$E$49+$E$60+$E$80+$E$91)*$B$95</f>
        <v>265.46777419285797</v>
      </c>
      <c r="AMG95"/>
    </row>
    <row r="96" spans="1:1021" ht="15.75" customHeight="1" x14ac:dyDescent="0.2">
      <c r="A96" s="657" t="s">
        <v>74</v>
      </c>
      <c r="B96" s="367">
        <f>MC!C65</f>
        <v>6.7900000000000002E-2</v>
      </c>
      <c r="C96" s="383">
        <f>($C$19+$C$49+$C$60+$C$80+$C$91+C95)*B96</f>
        <v>308.11257601997715</v>
      </c>
      <c r="D96" s="383">
        <f>($D$19+$D$49+$D$60+$D$80+$D$91+$D$95)*$B$96</f>
        <v>261.735490825721</v>
      </c>
      <c r="E96" s="675">
        <f>($E$19+$E$49+$E$60+$E$80+$E$91+$E$95)*$B$96</f>
        <v>318.44629299594601</v>
      </c>
      <c r="AMG96"/>
    </row>
    <row r="97" spans="1:1021" ht="15.75" customHeight="1" x14ac:dyDescent="0.2">
      <c r="A97" s="688" t="s">
        <v>477</v>
      </c>
      <c r="B97" s="414">
        <f>B98+B99</f>
        <v>0.1125</v>
      </c>
      <c r="C97" s="415">
        <f>((C19+C49+C60+C80+C91+C95+C96)/(1-($B$97)))*$B$97</f>
        <v>614.26305863751634</v>
      </c>
      <c r="D97" s="415">
        <f>((D19+D49+D60+D80+D91+D95+D96)/(1-($B$97)))*$B$97</f>
        <v>521.80422242217992</v>
      </c>
      <c r="E97" s="689">
        <f>((E19+E49+E60+E80+E91+E95+E96)/(1-($B$97)))*$B$97</f>
        <v>634.86468638912595</v>
      </c>
      <c r="AMG97"/>
    </row>
    <row r="98" spans="1:1021" ht="15.75" customHeight="1" x14ac:dyDescent="0.2">
      <c r="A98" s="657" t="s">
        <v>478</v>
      </c>
      <c r="B98" s="367">
        <f>0.0165+0.076</f>
        <v>9.2499999999999999E-2</v>
      </c>
      <c r="C98" s="416">
        <f>((C$19+C$49+C$60+C$80+C$91+C$95+C$96)/(1-($B$97)))*$B$98</f>
        <v>505.06073710195784</v>
      </c>
      <c r="D98" s="416">
        <f>((D$19+D$49+D$60+D$80+D$91+D$95+D$96)/(1-($B$97)))*$B$98</f>
        <v>429.03902732490349</v>
      </c>
      <c r="E98" s="690">
        <f>((E$19+E$49+E$60+E$80+E$91+E$95+E$96)/(1-($B$97)))*$B$98</f>
        <v>521.99985325328123</v>
      </c>
      <c r="AMG98"/>
    </row>
    <row r="99" spans="1:1021" ht="15.75" customHeight="1" x14ac:dyDescent="0.2">
      <c r="A99" s="657" t="s">
        <v>479</v>
      </c>
      <c r="B99" s="367">
        <v>0.02</v>
      </c>
      <c r="C99" s="417">
        <f>((C$19+C$49+C$60+C$80+C$91+C$95+C$96)/(1-($B$97)))*$B$99</f>
        <v>109.20232153555845</v>
      </c>
      <c r="D99" s="417">
        <f>((D$19+D$49+D$60+D$80+D$91+D$95+D$96)/(1-($B$97)))*$B$99</f>
        <v>92.765195097276433</v>
      </c>
      <c r="E99" s="691">
        <f>((E$19+E$49+E$60+E$80+E$91+E$95+E$96)/(1-($B$97)))*$B$99</f>
        <v>112.86483313584461</v>
      </c>
      <c r="AMG99"/>
    </row>
    <row r="100" spans="1:1021" ht="15.75" customHeight="1" x14ac:dyDescent="0.2">
      <c r="A100" s="688" t="s">
        <v>480</v>
      </c>
      <c r="B100" s="414">
        <f>B101+B102</f>
        <v>0.1225</v>
      </c>
      <c r="C100" s="415">
        <f>((C19+C49+C60+C80+C91+C95+C96)/(1-($B$100)))*$B$100</f>
        <v>676.48660367202262</v>
      </c>
      <c r="D100" s="415">
        <f>((D19+D49+D60+D80+D91+D95+D96)/(1-($B$100)))*$B$100</f>
        <v>574.66188344626914</v>
      </c>
      <c r="E100" s="689">
        <f>((E19+E49+E60+E80+E91+E95+E96)/(1-($B$100)))*$B$100</f>
        <v>699.1751326203763</v>
      </c>
      <c r="AMG100"/>
    </row>
    <row r="101" spans="1:1021" ht="15.75" customHeight="1" x14ac:dyDescent="0.2">
      <c r="A101" s="657" t="s">
        <v>478</v>
      </c>
      <c r="B101" s="367">
        <f>0.0165+0.076</f>
        <v>9.2499999999999999E-2</v>
      </c>
      <c r="C101" s="416">
        <f>((C19+C49+C60+C80+C91+C95+C96)/(1-($B$100)))*$B$101</f>
        <v>510.81641501764977</v>
      </c>
      <c r="D101" s="416">
        <f>((D19+D49+D60+D80+D91+D95+D96)/(1-($B$100)))*$B$101</f>
        <v>433.9283609696318</v>
      </c>
      <c r="E101" s="690">
        <f>((E19+E49+E60+E80+E91+E95+E96)/(1-($B$100)))*$B$101</f>
        <v>527.94856952967189</v>
      </c>
      <c r="AMG101"/>
    </row>
    <row r="102" spans="1:1021" ht="15.75" customHeight="1" x14ac:dyDescent="0.2">
      <c r="A102" s="657" t="s">
        <v>479</v>
      </c>
      <c r="B102" s="367">
        <v>0.03</v>
      </c>
      <c r="C102" s="417">
        <f>((C19+C49+C60+C80+C91+C95+C96)/(1-($B$100)))*$B$102</f>
        <v>165.67018865437288</v>
      </c>
      <c r="D102" s="417">
        <f>((D19+D49+D60+D80+D91+D95+D96)/(1-($B$100)))*$B$102</f>
        <v>140.73352247663732</v>
      </c>
      <c r="E102" s="691">
        <f>((E19+E49+E60+E80+E91+E95+E96)/(1-($B$100)))*$B$102</f>
        <v>171.22656309070442</v>
      </c>
      <c r="F102" s="418"/>
      <c r="AMG102"/>
    </row>
    <row r="103" spans="1:1021" ht="15.75" customHeight="1" x14ac:dyDescent="0.2">
      <c r="A103" s="688" t="s">
        <v>481</v>
      </c>
      <c r="B103" s="414">
        <f>B104+B105</f>
        <v>0.13250000000000001</v>
      </c>
      <c r="C103" s="415">
        <f>((C19+C49+C60+C80+C91+C95+C96)/(1-($B$103)))*$B$103</f>
        <v>740.14469729522068</v>
      </c>
      <c r="D103" s="415">
        <f>((D19+D49+D60+D80+D91+D95+D96)/(1-($B$103)))*$B$103</f>
        <v>628.7381648974266</v>
      </c>
      <c r="E103" s="689">
        <f>((E19+E49+E60+E80+E91+E95+E96)/(1-($B$103)))*$B$103</f>
        <v>764.96824043620904</v>
      </c>
      <c r="AMG103"/>
    </row>
    <row r="104" spans="1:1021" ht="15.75" customHeight="1" x14ac:dyDescent="0.2">
      <c r="A104" s="657" t="s">
        <v>478</v>
      </c>
      <c r="B104" s="367">
        <f>0.0165+0.076</f>
        <v>9.2499999999999999E-2</v>
      </c>
      <c r="C104" s="416">
        <f>((C19+C49+C60+C80+C91+C95+C96)/(1-($B$103)))*$B$104</f>
        <v>516.70478867779559</v>
      </c>
      <c r="D104" s="416">
        <f>((D19+D49+D60+D80+D91+D95+D96)/(1-($B$103)))*$B$104</f>
        <v>438.93041700386385</v>
      </c>
      <c r="E104" s="690">
        <f>((E19+E49+E60+E80+E91+E95+E96)/(1-($B$103)))*$B$104</f>
        <v>534.03443200263644</v>
      </c>
      <c r="AMG104"/>
    </row>
    <row r="105" spans="1:1021" ht="15.75" customHeight="1" x14ac:dyDescent="0.2">
      <c r="A105" s="657" t="s">
        <v>479</v>
      </c>
      <c r="B105" s="367">
        <v>0.04</v>
      </c>
      <c r="C105" s="417">
        <f>((C19+C49+C60+C80+C91+C95+C96)/(1-($B$103)))*$B$105</f>
        <v>223.43990861742509</v>
      </c>
      <c r="D105" s="417">
        <f>((D19+D49+D60+D80+D91+D95+D96)/(1-($B$103)))*$B$105</f>
        <v>189.80774789356275</v>
      </c>
      <c r="E105" s="691">
        <f>((E19+E49+E60+E80+E91+E95+E96)/(1-($B$103)))*$B$105</f>
        <v>230.93380843357252</v>
      </c>
      <c r="AMG105"/>
    </row>
    <row r="106" spans="1:1021" ht="15.75" customHeight="1" x14ac:dyDescent="0.2">
      <c r="A106" s="688" t="s">
        <v>482</v>
      </c>
      <c r="B106" s="414">
        <f>B107+B108</f>
        <v>0.14250000000000002</v>
      </c>
      <c r="C106" s="415">
        <f>((C19+C49+C60+C80+C91+C95+C96)/(1-($B$106)))*$B$106</f>
        <v>805.28752779592787</v>
      </c>
      <c r="D106" s="415">
        <f>((D19+D49+D60+D80+D91+D95+D96)/(1-($B$106)))*$B$106</f>
        <v>684.07570072645365</v>
      </c>
      <c r="E106" s="689">
        <f>((E19+E49+E60+E80+E91+E95+E96)/(1-($B$106)))*$B$106</f>
        <v>832.29588137894154</v>
      </c>
      <c r="AMG106"/>
    </row>
    <row r="107" spans="1:1021" ht="15.75" customHeight="1" x14ac:dyDescent="0.2">
      <c r="A107" s="657" t="s">
        <v>478</v>
      </c>
      <c r="B107" s="367">
        <f>0.0165+0.076</f>
        <v>9.2499999999999999E-2</v>
      </c>
      <c r="C107" s="416">
        <f>((C19+C49+C60+C80+C91+C95+C96)/(1-($B$106)))*$B$107</f>
        <v>522.73050049911103</v>
      </c>
      <c r="D107" s="416">
        <f>((D19+D49+D60+D80+D91+D95+D96)/(1-($B$106)))*$B$107</f>
        <v>444.04913906804882</v>
      </c>
      <c r="E107" s="690">
        <f>((E19+E49+E60+E80+E91+E95+E96)/(1-($B$106)))*$B$107</f>
        <v>540.26223878983922</v>
      </c>
      <c r="AMG107"/>
    </row>
    <row r="108" spans="1:1021" ht="15.75" customHeight="1" x14ac:dyDescent="0.2">
      <c r="A108" s="657" t="s">
        <v>479</v>
      </c>
      <c r="B108" s="419">
        <v>0.05</v>
      </c>
      <c r="C108" s="417">
        <f>((C19+C49+C60+C80+C91+C95+C96)/(1-($B$106)))*$B$108</f>
        <v>282.55702729681678</v>
      </c>
      <c r="D108" s="417">
        <f>((D19+D49+D60+D80+D91+D95+D96)/(1-($B$106)))*$B$108</f>
        <v>240.02656165840477</v>
      </c>
      <c r="E108" s="691">
        <f>((E19+E49+E60+E80+E91+E95+E96)/(1-($B$106)))*$B$108</f>
        <v>292.03364258910227</v>
      </c>
      <c r="AMG108"/>
    </row>
    <row r="109" spans="1:1021" ht="15.75" customHeight="1" x14ac:dyDescent="0.2">
      <c r="A109" s="875" t="s">
        <v>483</v>
      </c>
      <c r="B109" s="420">
        <v>0.02</v>
      </c>
      <c r="C109" s="421">
        <f>C95+C96+C97</f>
        <v>1179.228867230348</v>
      </c>
      <c r="D109" s="421">
        <f>D95+D96+D97</f>
        <v>1001.7314137167266</v>
      </c>
      <c r="E109" s="692">
        <f>E95+E96+E97</f>
        <v>1218.7787535779298</v>
      </c>
      <c r="AMG109"/>
    </row>
    <row r="110" spans="1:1021" ht="15.75" customHeight="1" x14ac:dyDescent="0.2">
      <c r="A110" s="875"/>
      <c r="B110" s="422">
        <v>0.03</v>
      </c>
      <c r="C110" s="423">
        <f>C95+C96+C100</f>
        <v>1241.452412264854</v>
      </c>
      <c r="D110" s="423">
        <f>D95+D96+D100</f>
        <v>1054.5890747408157</v>
      </c>
      <c r="E110" s="693">
        <f>E95+E96+E100</f>
        <v>1283.0891998091802</v>
      </c>
      <c r="F110" s="418"/>
      <c r="AMG110"/>
    </row>
    <row r="111" spans="1:1021" ht="15.75" customHeight="1" x14ac:dyDescent="0.2">
      <c r="A111" s="875"/>
      <c r="B111" s="422">
        <v>0.04</v>
      </c>
      <c r="C111" s="423">
        <f>C95+C96+C103</f>
        <v>1305.1105058880521</v>
      </c>
      <c r="D111" s="423">
        <f>D95+D96+D103</f>
        <v>1108.6653561919734</v>
      </c>
      <c r="E111" s="693">
        <f>E95+E96+E103</f>
        <v>1348.882307625013</v>
      </c>
      <c r="AMG111"/>
    </row>
    <row r="112" spans="1:1021" ht="15.75" customHeight="1" x14ac:dyDescent="0.2">
      <c r="A112" s="875"/>
      <c r="B112" s="424">
        <v>0.05</v>
      </c>
      <c r="C112" s="425">
        <f>C95+C96+C106</f>
        <v>1370.2533363887594</v>
      </c>
      <c r="D112" s="425">
        <f>D95+D96+D106</f>
        <v>1164.0028920210002</v>
      </c>
      <c r="E112" s="694">
        <f>E95+E96+E106</f>
        <v>1416.2099485677454</v>
      </c>
      <c r="AMG112"/>
    </row>
    <row r="113" spans="1:1021" ht="15.75" customHeight="1" x14ac:dyDescent="0.2">
      <c r="A113" s="657" t="s">
        <v>484</v>
      </c>
      <c r="B113" s="426"/>
      <c r="C113" s="427"/>
      <c r="D113" s="427"/>
      <c r="E113" s="695"/>
      <c r="AMG113"/>
    </row>
    <row r="114" spans="1:1021" ht="15.75" customHeight="1" x14ac:dyDescent="0.2">
      <c r="A114" s="696"/>
      <c r="B114" s="430"/>
      <c r="C114" s="431"/>
      <c r="D114" s="431"/>
      <c r="E114" s="697"/>
      <c r="AMG114"/>
    </row>
    <row r="115" spans="1:1021" ht="15.75" customHeight="1" x14ac:dyDescent="0.2">
      <c r="A115" s="929"/>
      <c r="B115" s="930"/>
      <c r="C115" s="930"/>
      <c r="D115" s="930"/>
      <c r="E115" s="931"/>
      <c r="AMG115"/>
    </row>
    <row r="116" spans="1:1021" ht="15.75" customHeight="1" x14ac:dyDescent="0.2">
      <c r="A116" s="932"/>
      <c r="B116" s="933"/>
      <c r="C116" s="933"/>
      <c r="D116" s="933"/>
      <c r="E116" s="934"/>
      <c r="AMG116"/>
    </row>
    <row r="117" spans="1:1021" ht="54.75" customHeight="1" x14ac:dyDescent="0.2">
      <c r="A117" s="876" t="s">
        <v>485</v>
      </c>
      <c r="B117" s="877"/>
      <c r="C117" s="433" t="str">
        <f>C10</f>
        <v xml:space="preserve">Servente 44h </v>
      </c>
      <c r="D117" s="433" t="str">
        <f>D10</f>
        <v>Servente 30h</v>
      </c>
      <c r="E117" s="698" t="str">
        <f>E10</f>
        <v>Servente 44h limpeza de esquadrias com risco</v>
      </c>
      <c r="AMG117"/>
    </row>
    <row r="118" spans="1:1021" ht="15.75" customHeight="1" x14ac:dyDescent="0.2">
      <c r="A118" s="899" t="s">
        <v>486</v>
      </c>
      <c r="B118" s="900"/>
      <c r="C118" s="435" t="s">
        <v>416</v>
      </c>
      <c r="D118" s="435" t="s">
        <v>416</v>
      </c>
      <c r="E118" s="699" t="s">
        <v>416</v>
      </c>
      <c r="AMG118"/>
    </row>
    <row r="119" spans="1:1021" ht="14.25" customHeight="1" x14ac:dyDescent="0.2">
      <c r="A119" s="901" t="s">
        <v>487</v>
      </c>
      <c r="B119" s="902"/>
      <c r="C119" s="437">
        <f>C19</f>
        <v>1729.0079999999998</v>
      </c>
      <c r="D119" s="437">
        <f>D19</f>
        <v>1414.6429090909089</v>
      </c>
      <c r="E119" s="700">
        <f>E19</f>
        <v>1873.0919999999999</v>
      </c>
      <c r="AMG119"/>
    </row>
    <row r="120" spans="1:1021" ht="14.25" customHeight="1" x14ac:dyDescent="0.2">
      <c r="A120" s="903" t="s">
        <v>488</v>
      </c>
      <c r="B120" s="904"/>
      <c r="C120" s="439">
        <f>C49</f>
        <v>1543.21856</v>
      </c>
      <c r="D120" s="439">
        <f>D49</f>
        <v>1291.1506400000001</v>
      </c>
      <c r="E120" s="701">
        <f>E49</f>
        <v>1628.2367733333333</v>
      </c>
      <c r="AMG120"/>
    </row>
    <row r="121" spans="1:1021" ht="14.25" customHeight="1" x14ac:dyDescent="0.2">
      <c r="A121" s="903" t="s">
        <v>489</v>
      </c>
      <c r="B121" s="904"/>
      <c r="C121" s="439">
        <f>C60</f>
        <v>113.25002399999997</v>
      </c>
      <c r="D121" s="439">
        <f>D60</f>
        <v>92.659110545454524</v>
      </c>
      <c r="E121" s="701">
        <f>E60</f>
        <v>122.68752599999998</v>
      </c>
      <c r="AMG121"/>
    </row>
    <row r="122" spans="1:1021" ht="14.25" customHeight="1" x14ac:dyDescent="0.2">
      <c r="A122" s="903" t="s">
        <v>490</v>
      </c>
      <c r="B122" s="904"/>
      <c r="C122" s="439">
        <f>C80</f>
        <v>316.51584290868561</v>
      </c>
      <c r="D122" s="439">
        <f>D80</f>
        <v>259.18089887184226</v>
      </c>
      <c r="E122" s="701">
        <f>E80</f>
        <v>342.796084414299</v>
      </c>
      <c r="AMG122"/>
    </row>
    <row r="123" spans="1:1021" ht="15.75" customHeight="1" x14ac:dyDescent="0.2">
      <c r="A123" s="903" t="s">
        <v>491</v>
      </c>
      <c r="B123" s="904"/>
      <c r="C123" s="439">
        <f>C91</f>
        <v>578.89478263888873</v>
      </c>
      <c r="D123" s="439">
        <f>D91</f>
        <v>578.89478263888873</v>
      </c>
      <c r="E123" s="701">
        <f>E91</f>
        <v>457.65051946666665</v>
      </c>
      <c r="AMG123"/>
    </row>
    <row r="124" spans="1:1021" ht="15.75" customHeight="1" x14ac:dyDescent="0.2">
      <c r="A124" s="908" t="s">
        <v>492</v>
      </c>
      <c r="B124" s="909"/>
      <c r="C124" s="441">
        <f>SUM(C119:C123)</f>
        <v>4280.8872095475745</v>
      </c>
      <c r="D124" s="441">
        <f>SUM(D119:D123)</f>
        <v>3636.5283411470946</v>
      </c>
      <c r="E124" s="702">
        <f>SUM(E119:E123)</f>
        <v>4424.4629032142993</v>
      </c>
      <c r="AMG124"/>
    </row>
    <row r="125" spans="1:1021" ht="15.75" customHeight="1" x14ac:dyDescent="0.2">
      <c r="A125" s="905" t="s">
        <v>493</v>
      </c>
      <c r="B125" s="906"/>
      <c r="C125" s="443">
        <f t="shared" ref="C125:E128" si="6">C109</f>
        <v>1179.228867230348</v>
      </c>
      <c r="D125" s="443">
        <f t="shared" si="6"/>
        <v>1001.7314137167266</v>
      </c>
      <c r="E125" s="703">
        <f t="shared" si="6"/>
        <v>1218.7787535779298</v>
      </c>
      <c r="AMG125"/>
    </row>
    <row r="126" spans="1:1021" ht="15.75" customHeight="1" x14ac:dyDescent="0.2">
      <c r="A126" s="903" t="s">
        <v>494</v>
      </c>
      <c r="B126" s="904"/>
      <c r="C126" s="445">
        <f t="shared" si="6"/>
        <v>1241.452412264854</v>
      </c>
      <c r="D126" s="445">
        <f t="shared" si="6"/>
        <v>1054.5890747408157</v>
      </c>
      <c r="E126" s="704">
        <f t="shared" si="6"/>
        <v>1283.0891998091802</v>
      </c>
      <c r="AMG126"/>
    </row>
    <row r="127" spans="1:1021" ht="15.75" customHeight="1" x14ac:dyDescent="0.2">
      <c r="A127" s="903" t="s">
        <v>495</v>
      </c>
      <c r="B127" s="904"/>
      <c r="C127" s="445">
        <f t="shared" si="6"/>
        <v>1305.1105058880521</v>
      </c>
      <c r="D127" s="445">
        <f t="shared" si="6"/>
        <v>1108.6653561919734</v>
      </c>
      <c r="E127" s="704">
        <f t="shared" si="6"/>
        <v>1348.882307625013</v>
      </c>
      <c r="AMG127"/>
    </row>
    <row r="128" spans="1:1021" ht="15.75" customHeight="1" x14ac:dyDescent="0.2">
      <c r="A128" s="905" t="s">
        <v>496</v>
      </c>
      <c r="B128" s="906"/>
      <c r="C128" s="445">
        <f t="shared" si="6"/>
        <v>1370.2533363887594</v>
      </c>
      <c r="D128" s="445">
        <f t="shared" si="6"/>
        <v>1164.0028920210002</v>
      </c>
      <c r="E128" s="704">
        <f t="shared" si="6"/>
        <v>1416.2099485677454</v>
      </c>
      <c r="AMG128"/>
    </row>
    <row r="129" spans="1:1021" ht="15.75" customHeight="1" x14ac:dyDescent="0.2">
      <c r="A129" s="705" t="s">
        <v>497</v>
      </c>
      <c r="B129" s="448"/>
      <c r="C129" s="449">
        <f>C124+C125</f>
        <v>5460.116076777922</v>
      </c>
      <c r="D129" s="449">
        <f>D124+D125</f>
        <v>4638.2597548638214</v>
      </c>
      <c r="E129" s="706">
        <f>E124+E125</f>
        <v>5643.2416567922292</v>
      </c>
      <c r="AMG129"/>
    </row>
    <row r="130" spans="1:1021" ht="15.75" customHeight="1" x14ac:dyDescent="0.2">
      <c r="A130" s="707" t="s">
        <v>498</v>
      </c>
      <c r="B130" s="452"/>
      <c r="C130" s="453">
        <f>C124+C126</f>
        <v>5522.339621812429</v>
      </c>
      <c r="D130" s="453">
        <f>D124+D126</f>
        <v>4691.1174158879103</v>
      </c>
      <c r="E130" s="708">
        <f>E124+E126</f>
        <v>5707.5521030234795</v>
      </c>
      <c r="AMG130"/>
    </row>
    <row r="131" spans="1:1021" ht="15.75" customHeight="1" x14ac:dyDescent="0.2">
      <c r="A131" s="707" t="s">
        <v>499</v>
      </c>
      <c r="B131" s="452"/>
      <c r="C131" s="453">
        <f>C124+C127</f>
        <v>5585.9977154356266</v>
      </c>
      <c r="D131" s="453">
        <f>D124+D127</f>
        <v>4745.1936973390675</v>
      </c>
      <c r="E131" s="708">
        <f>E124+E127</f>
        <v>5773.3452108393121</v>
      </c>
      <c r="AMG131"/>
    </row>
    <row r="132" spans="1:1021" ht="15.75" customHeight="1" x14ac:dyDescent="0.2">
      <c r="A132" s="707" t="s">
        <v>500</v>
      </c>
      <c r="B132" s="452"/>
      <c r="C132" s="453">
        <f>C124+C128</f>
        <v>5651.1405459363341</v>
      </c>
      <c r="D132" s="453">
        <f>D124+D128</f>
        <v>4800.5312331680943</v>
      </c>
      <c r="E132" s="708">
        <f>E124+E128</f>
        <v>5840.6728517820447</v>
      </c>
      <c r="F132" s="785"/>
      <c r="AMG132"/>
    </row>
    <row r="133" spans="1:1021" ht="15.75" customHeight="1" x14ac:dyDescent="0.2">
      <c r="A133" s="709" t="s">
        <v>501</v>
      </c>
      <c r="B133" s="456"/>
      <c r="C133" s="457">
        <f>C129/220</f>
        <v>24.818709439899646</v>
      </c>
      <c r="D133" s="457"/>
      <c r="E133" s="710"/>
      <c r="F133" s="785"/>
      <c r="AMG133"/>
    </row>
    <row r="134" spans="1:1021" ht="15.75" customHeight="1" x14ac:dyDescent="0.2">
      <c r="A134" s="711" t="s">
        <v>502</v>
      </c>
      <c r="B134" s="459"/>
      <c r="C134" s="460">
        <f>C130/220</f>
        <v>25.10154373551104</v>
      </c>
      <c r="D134" s="460"/>
      <c r="E134" s="712"/>
      <c r="AMG134"/>
    </row>
    <row r="135" spans="1:1021" ht="15.75" customHeight="1" x14ac:dyDescent="0.2">
      <c r="A135" s="711" t="s">
        <v>503</v>
      </c>
      <c r="B135" s="459"/>
      <c r="C135" s="460">
        <f>C131/220</f>
        <v>25.390898706525576</v>
      </c>
      <c r="D135" s="460"/>
      <c r="E135" s="712"/>
      <c r="AMG135"/>
    </row>
    <row r="136" spans="1:1021" ht="15.75" customHeight="1" x14ac:dyDescent="0.2">
      <c r="A136" s="713" t="s">
        <v>504</v>
      </c>
      <c r="B136" s="714"/>
      <c r="C136" s="715">
        <f>C132/220</f>
        <v>25.68700248152879</v>
      </c>
      <c r="D136" s="715"/>
      <c r="E136" s="716"/>
      <c r="AMG136"/>
    </row>
    <row r="137" spans="1:1021" x14ac:dyDescent="0.2">
      <c r="A137" s="464"/>
    </row>
    <row r="138" spans="1:1021" ht="14.25" customHeight="1" x14ac:dyDescent="0.2">
      <c r="A138" s="907" t="s">
        <v>505</v>
      </c>
      <c r="B138" s="907"/>
      <c r="C138" s="907" t="s">
        <v>506</v>
      </c>
      <c r="D138" s="907"/>
      <c r="E138" s="907" t="s">
        <v>507</v>
      </c>
      <c r="F138" s="907"/>
      <c r="G138" s="907" t="s">
        <v>508</v>
      </c>
      <c r="H138" s="907"/>
      <c r="I138" s="907" t="s">
        <v>509</v>
      </c>
      <c r="J138" s="907"/>
      <c r="AMF138"/>
      <c r="AMG138"/>
    </row>
    <row r="139" spans="1:1021" ht="38.25" x14ac:dyDescent="0.2">
      <c r="A139" s="465" t="s">
        <v>510</v>
      </c>
      <c r="B139" s="466" t="s">
        <v>511</v>
      </c>
      <c r="C139" s="466" t="s">
        <v>512</v>
      </c>
      <c r="D139" s="466" t="s">
        <v>513</v>
      </c>
      <c r="E139" s="466" t="s">
        <v>512</v>
      </c>
      <c r="F139" s="466" t="s">
        <v>513</v>
      </c>
      <c r="G139" s="466" t="s">
        <v>512</v>
      </c>
      <c r="H139" s="466" t="s">
        <v>513</v>
      </c>
      <c r="I139" s="466" t="s">
        <v>512</v>
      </c>
      <c r="J139" s="466" t="s">
        <v>513</v>
      </c>
      <c r="AMF139"/>
      <c r="AMG139"/>
    </row>
    <row r="140" spans="1:1021" x14ac:dyDescent="0.2">
      <c r="A140" s="467" t="s">
        <v>514</v>
      </c>
      <c r="B140" s="468">
        <f>1/'Prod. GEXCRI'!C18</f>
        <v>1.25E-3</v>
      </c>
      <c r="C140" s="469">
        <f>C129</f>
        <v>5460.116076777922</v>
      </c>
      <c r="D140" s="469">
        <f>B140*C140</f>
        <v>6.8251450959724025</v>
      </c>
      <c r="E140" s="469">
        <f>C130</f>
        <v>5522.339621812429</v>
      </c>
      <c r="F140" s="469">
        <f>B140*E140</f>
        <v>6.9029245272655366</v>
      </c>
      <c r="G140" s="469">
        <f>C131</f>
        <v>5585.9977154356266</v>
      </c>
      <c r="H140" s="469">
        <f>B140*G140</f>
        <v>6.9824971442945332</v>
      </c>
      <c r="I140" s="469">
        <f>C132</f>
        <v>5651.1405459363341</v>
      </c>
      <c r="J140" s="469">
        <f>B140*I140</f>
        <v>7.0639256824204182</v>
      </c>
      <c r="AMF140"/>
      <c r="AMG140"/>
    </row>
    <row r="141" spans="1:1021" x14ac:dyDescent="0.2">
      <c r="A141" s="470" t="s">
        <v>515</v>
      </c>
      <c r="B141" s="471"/>
      <c r="C141" s="472"/>
      <c r="D141" s="472">
        <f>SUM(D140:D140)</f>
        <v>6.8251450959724025</v>
      </c>
      <c r="E141" s="472"/>
      <c r="F141" s="472">
        <f>SUM(F140:F140)</f>
        <v>6.9029245272655366</v>
      </c>
      <c r="G141" s="472"/>
      <c r="H141" s="472">
        <f>SUM(H140:H140)</f>
        <v>6.9824971442945332</v>
      </c>
      <c r="I141" s="472"/>
      <c r="J141" s="472">
        <f>SUM(J140:J140)</f>
        <v>7.0639256824204182</v>
      </c>
      <c r="K141" s="473"/>
      <c r="L141" s="474"/>
      <c r="AMF141"/>
      <c r="AMG141"/>
    </row>
    <row r="142" spans="1:1021" x14ac:dyDescent="0.2">
      <c r="A142" s="475"/>
      <c r="B142" s="476"/>
      <c r="C142" s="476"/>
      <c r="D142" s="477"/>
      <c r="AMF142"/>
      <c r="AMG142"/>
    </row>
    <row r="143" spans="1:1021" ht="14.25" customHeight="1" x14ac:dyDescent="0.2">
      <c r="A143" s="910" t="s">
        <v>516</v>
      </c>
      <c r="B143" s="910"/>
      <c r="C143" s="910" t="s">
        <v>506</v>
      </c>
      <c r="D143" s="910"/>
      <c r="E143" s="910" t="s">
        <v>507</v>
      </c>
      <c r="F143" s="910"/>
      <c r="G143" s="910" t="s">
        <v>508</v>
      </c>
      <c r="H143" s="910"/>
      <c r="I143" s="910" t="s">
        <v>509</v>
      </c>
      <c r="J143" s="910"/>
      <c r="AMF143"/>
      <c r="AMG143"/>
    </row>
    <row r="144" spans="1:1021" ht="38.25" x14ac:dyDescent="0.2">
      <c r="A144" s="465" t="s">
        <v>510</v>
      </c>
      <c r="B144" s="466" t="s">
        <v>517</v>
      </c>
      <c r="C144" s="466" t="s">
        <v>512</v>
      </c>
      <c r="D144" s="466" t="s">
        <v>513</v>
      </c>
      <c r="E144" s="466" t="s">
        <v>512</v>
      </c>
      <c r="F144" s="466" t="s">
        <v>513</v>
      </c>
      <c r="G144" s="466" t="s">
        <v>512</v>
      </c>
      <c r="H144" s="466" t="s">
        <v>513</v>
      </c>
      <c r="I144" s="466" t="s">
        <v>512</v>
      </c>
      <c r="J144" s="466" t="s">
        <v>513</v>
      </c>
      <c r="AMF144"/>
      <c r="AMG144"/>
    </row>
    <row r="145" spans="1:1021" x14ac:dyDescent="0.2">
      <c r="A145" s="467" t="s">
        <v>514</v>
      </c>
      <c r="B145" s="478">
        <f>1/'Prod. GEXCRI'!D18</f>
        <v>6.6666666666666664E-4</v>
      </c>
      <c r="C145" s="479">
        <f>C129</f>
        <v>5460.116076777922</v>
      </c>
      <c r="D145" s="469">
        <f>B145*C145</f>
        <v>3.6400773845186145</v>
      </c>
      <c r="E145" s="469">
        <f>C130</f>
        <v>5522.339621812429</v>
      </c>
      <c r="F145" s="469">
        <f>B145*E145</f>
        <v>3.6815597478749527</v>
      </c>
      <c r="G145" s="469">
        <f>C131</f>
        <v>5585.9977154356266</v>
      </c>
      <c r="H145" s="469">
        <f>B145*G145</f>
        <v>3.7239984769570844</v>
      </c>
      <c r="I145" s="469">
        <f>C132</f>
        <v>5651.1405459363341</v>
      </c>
      <c r="J145" s="469">
        <f>B145*I145</f>
        <v>3.7674270306242228</v>
      </c>
      <c r="AMF145"/>
      <c r="AMG145"/>
    </row>
    <row r="146" spans="1:1021" x14ac:dyDescent="0.2">
      <c r="A146" s="470" t="s">
        <v>518</v>
      </c>
      <c r="B146" s="471"/>
      <c r="C146" s="472"/>
      <c r="D146" s="472">
        <f>SUM(D145:D145)</f>
        <v>3.6400773845186145</v>
      </c>
      <c r="E146" s="472"/>
      <c r="F146" s="472">
        <f>SUM(F145:F145)</f>
        <v>3.6815597478749527</v>
      </c>
      <c r="G146" s="472"/>
      <c r="H146" s="472">
        <f>SUM(H145:H145)</f>
        <v>3.7239984769570844</v>
      </c>
      <c r="I146" s="472"/>
      <c r="J146" s="472">
        <f>SUM(J145:J145)</f>
        <v>3.7674270306242228</v>
      </c>
      <c r="AMF146"/>
      <c r="AMG146"/>
    </row>
    <row r="147" spans="1:1021" x14ac:dyDescent="0.2">
      <c r="A147" s="475"/>
      <c r="B147" s="480"/>
      <c r="C147" s="480"/>
      <c r="D147" s="480"/>
      <c r="AMF147"/>
      <c r="AMG147"/>
    </row>
    <row r="148" spans="1:1021" ht="14.25" customHeight="1" x14ac:dyDescent="0.2">
      <c r="A148" s="910" t="s">
        <v>519</v>
      </c>
      <c r="B148" s="910"/>
      <c r="C148" s="910" t="s">
        <v>506</v>
      </c>
      <c r="D148" s="910"/>
      <c r="E148" s="910" t="s">
        <v>507</v>
      </c>
      <c r="F148" s="910"/>
      <c r="G148" s="910" t="s">
        <v>508</v>
      </c>
      <c r="H148" s="910"/>
      <c r="I148" s="910" t="s">
        <v>509</v>
      </c>
      <c r="J148" s="910"/>
      <c r="AMF148"/>
      <c r="AMG148"/>
    </row>
    <row r="149" spans="1:1021" ht="38.25" x14ac:dyDescent="0.2">
      <c r="A149" s="465" t="s">
        <v>510</v>
      </c>
      <c r="B149" s="466" t="s">
        <v>517</v>
      </c>
      <c r="C149" s="466" t="s">
        <v>512</v>
      </c>
      <c r="D149" s="466" t="s">
        <v>513</v>
      </c>
      <c r="E149" s="466" t="s">
        <v>512</v>
      </c>
      <c r="F149" s="466" t="s">
        <v>513</v>
      </c>
      <c r="G149" s="466" t="s">
        <v>512</v>
      </c>
      <c r="H149" s="466" t="s">
        <v>513</v>
      </c>
      <c r="I149" s="466" t="s">
        <v>512</v>
      </c>
      <c r="J149" s="466" t="s">
        <v>513</v>
      </c>
      <c r="AMF149"/>
      <c r="AMG149"/>
    </row>
    <row r="150" spans="1:1021" x14ac:dyDescent="0.2">
      <c r="A150" s="467" t="s">
        <v>514</v>
      </c>
      <c r="B150" s="478">
        <f>1/'Prod. GEXCRI'!E18</f>
        <v>9.0909090909090909E-4</v>
      </c>
      <c r="C150" s="479">
        <f>C129</f>
        <v>5460.116076777922</v>
      </c>
      <c r="D150" s="469">
        <f>B150*C150</f>
        <v>4.9637418879799293</v>
      </c>
      <c r="E150" s="469">
        <f>C130</f>
        <v>5522.339621812429</v>
      </c>
      <c r="F150" s="469">
        <f>B150*E150</f>
        <v>5.0203087471022085</v>
      </c>
      <c r="G150" s="469">
        <f>C131</f>
        <v>5585.9977154356266</v>
      </c>
      <c r="H150" s="469">
        <f>B150*G150</f>
        <v>5.0781797413051146</v>
      </c>
      <c r="I150" s="469">
        <f>C132</f>
        <v>5651.1405459363341</v>
      </c>
      <c r="J150" s="469">
        <f>B150*I150</f>
        <v>5.1374004963057587</v>
      </c>
      <c r="AMF150"/>
      <c r="AMG150"/>
    </row>
    <row r="151" spans="1:1021" x14ac:dyDescent="0.2">
      <c r="A151" s="470" t="s">
        <v>518</v>
      </c>
      <c r="B151" s="471"/>
      <c r="C151" s="472"/>
      <c r="D151" s="472">
        <f>SUM(D150:D150)</f>
        <v>4.9637418879799293</v>
      </c>
      <c r="E151" s="472"/>
      <c r="F151" s="472">
        <f>SUM(F150:F150)</f>
        <v>5.0203087471022085</v>
      </c>
      <c r="G151" s="472"/>
      <c r="H151" s="472">
        <f>SUM(H150:H150)</f>
        <v>5.0781797413051146</v>
      </c>
      <c r="I151" s="472"/>
      <c r="J151" s="472">
        <f>SUM(J150:J150)</f>
        <v>5.1374004963057587</v>
      </c>
      <c r="AMF151"/>
      <c r="AMG151"/>
    </row>
    <row r="152" spans="1:1021" x14ac:dyDescent="0.2">
      <c r="A152" s="475"/>
      <c r="B152" s="480"/>
      <c r="C152" s="480"/>
      <c r="D152" s="480"/>
      <c r="AMF152"/>
      <c r="AMG152"/>
    </row>
    <row r="153" spans="1:1021" ht="14.25" customHeight="1" x14ac:dyDescent="0.2">
      <c r="A153" s="910" t="s">
        <v>520</v>
      </c>
      <c r="B153" s="910"/>
      <c r="C153" s="910" t="s">
        <v>506</v>
      </c>
      <c r="D153" s="910"/>
      <c r="E153" s="910" t="s">
        <v>507</v>
      </c>
      <c r="F153" s="910"/>
      <c r="G153" s="910" t="s">
        <v>508</v>
      </c>
      <c r="H153" s="910"/>
      <c r="I153" s="910" t="s">
        <v>509</v>
      </c>
      <c r="J153" s="910"/>
      <c r="AMF153"/>
      <c r="AMG153"/>
    </row>
    <row r="154" spans="1:1021" ht="38.25" x14ac:dyDescent="0.2">
      <c r="A154" s="465" t="s">
        <v>510</v>
      </c>
      <c r="B154" s="466" t="s">
        <v>517</v>
      </c>
      <c r="C154" s="466" t="s">
        <v>512</v>
      </c>
      <c r="D154" s="466" t="s">
        <v>513</v>
      </c>
      <c r="E154" s="466" t="s">
        <v>512</v>
      </c>
      <c r="F154" s="466" t="s">
        <v>513</v>
      </c>
      <c r="G154" s="466" t="s">
        <v>512</v>
      </c>
      <c r="H154" s="466" t="s">
        <v>513</v>
      </c>
      <c r="I154" s="466" t="s">
        <v>512</v>
      </c>
      <c r="J154" s="466" t="s">
        <v>513</v>
      </c>
      <c r="AMF154"/>
      <c r="AMG154"/>
    </row>
    <row r="155" spans="1:1021" x14ac:dyDescent="0.2">
      <c r="A155" s="467" t="s">
        <v>514</v>
      </c>
      <c r="B155" s="478">
        <f>1/'Prod. GEXCRI'!F18</f>
        <v>5.0000000000000001E-3</v>
      </c>
      <c r="C155" s="469">
        <f>C129</f>
        <v>5460.116076777922</v>
      </c>
      <c r="D155" s="469">
        <f>B155*C155</f>
        <v>27.30058038388961</v>
      </c>
      <c r="E155" s="469">
        <f>C130</f>
        <v>5522.339621812429</v>
      </c>
      <c r="F155" s="469">
        <f>B155*E155</f>
        <v>27.611698109062147</v>
      </c>
      <c r="G155" s="469">
        <f>C131</f>
        <v>5585.9977154356266</v>
      </c>
      <c r="H155" s="469">
        <f>B155*G155</f>
        <v>27.929988577178133</v>
      </c>
      <c r="I155" s="469">
        <f>C132</f>
        <v>5651.1405459363341</v>
      </c>
      <c r="J155" s="469">
        <f>B155*I155</f>
        <v>28.255702729681673</v>
      </c>
      <c r="AMF155"/>
      <c r="AMG155"/>
    </row>
    <row r="156" spans="1:1021" x14ac:dyDescent="0.2">
      <c r="A156" s="470" t="s">
        <v>518</v>
      </c>
      <c r="B156" s="471"/>
      <c r="C156" s="472"/>
      <c r="D156" s="472">
        <f>SUM(D155:D155)</f>
        <v>27.30058038388961</v>
      </c>
      <c r="E156" s="472"/>
      <c r="F156" s="472">
        <f>SUM(F155:F155)</f>
        <v>27.611698109062147</v>
      </c>
      <c r="G156" s="472"/>
      <c r="H156" s="472">
        <f>SUM(H155:H155)</f>
        <v>27.929988577178133</v>
      </c>
      <c r="I156" s="472"/>
      <c r="J156" s="472">
        <f>SUM(J155:J155)</f>
        <v>28.255702729681673</v>
      </c>
      <c r="AMF156"/>
      <c r="AMG156"/>
    </row>
    <row r="157" spans="1:1021" x14ac:dyDescent="0.2">
      <c r="A157" s="475"/>
      <c r="B157" s="481"/>
      <c r="C157" s="481"/>
      <c r="D157" s="481"/>
      <c r="AMF157"/>
      <c r="AMG157"/>
    </row>
    <row r="158" spans="1:1021" ht="14.25" customHeight="1" x14ac:dyDescent="0.2">
      <c r="A158" s="911" t="s">
        <v>521</v>
      </c>
      <c r="B158" s="911"/>
      <c r="C158" s="911" t="s">
        <v>506</v>
      </c>
      <c r="D158" s="911"/>
      <c r="E158" s="911" t="s">
        <v>507</v>
      </c>
      <c r="F158" s="911"/>
      <c r="G158" s="911" t="s">
        <v>508</v>
      </c>
      <c r="H158" s="911"/>
      <c r="I158" s="911" t="s">
        <v>509</v>
      </c>
      <c r="J158" s="911"/>
      <c r="AMF158"/>
      <c r="AMG158"/>
    </row>
    <row r="159" spans="1:1021" ht="38.25" x14ac:dyDescent="0.2">
      <c r="A159" s="465" t="s">
        <v>510</v>
      </c>
      <c r="B159" s="466" t="s">
        <v>517</v>
      </c>
      <c r="C159" s="466" t="s">
        <v>512</v>
      </c>
      <c r="D159" s="466" t="s">
        <v>513</v>
      </c>
      <c r="E159" s="466" t="s">
        <v>512</v>
      </c>
      <c r="F159" s="466" t="s">
        <v>513</v>
      </c>
      <c r="G159" s="466" t="s">
        <v>512</v>
      </c>
      <c r="H159" s="466" t="s">
        <v>513</v>
      </c>
      <c r="I159" s="466" t="s">
        <v>512</v>
      </c>
      <c r="J159" s="466" t="s">
        <v>513</v>
      </c>
      <c r="AMF159"/>
      <c r="AMG159"/>
    </row>
    <row r="160" spans="1:1021" x14ac:dyDescent="0.2">
      <c r="A160" s="467" t="s">
        <v>522</v>
      </c>
      <c r="B160" s="478">
        <f>1/'Prod. GEXCRI'!G18</f>
        <v>3.8461538461538462E-4</v>
      </c>
      <c r="C160" s="469">
        <f>C129</f>
        <v>5460.116076777922</v>
      </c>
      <c r="D160" s="469">
        <f>B160*C160</f>
        <v>2.1000446449145853</v>
      </c>
      <c r="E160" s="469">
        <f>C130</f>
        <v>5522.339621812429</v>
      </c>
      <c r="F160" s="469">
        <f>B160*E160</f>
        <v>2.123976777620165</v>
      </c>
      <c r="G160" s="469">
        <f>C131</f>
        <v>5585.9977154356266</v>
      </c>
      <c r="H160" s="469">
        <f>B160*G160</f>
        <v>2.1484606597829332</v>
      </c>
      <c r="I160" s="469">
        <f>C132</f>
        <v>5651.1405459363341</v>
      </c>
      <c r="J160" s="469">
        <f>B160*I160</f>
        <v>2.1735155945908979</v>
      </c>
      <c r="AMF160"/>
      <c r="AMG160"/>
    </row>
    <row r="161" spans="1:1021" x14ac:dyDescent="0.2">
      <c r="A161" s="482" t="s">
        <v>523</v>
      </c>
      <c r="B161" s="483"/>
      <c r="C161" s="484"/>
      <c r="D161" s="485">
        <f>SUM(D160:D160)</f>
        <v>2.1000446449145853</v>
      </c>
      <c r="E161" s="484"/>
      <c r="F161" s="485">
        <f>SUM(F160:F160)</f>
        <v>2.123976777620165</v>
      </c>
      <c r="G161" s="484"/>
      <c r="H161" s="485">
        <f>SUM(H160:H160)</f>
        <v>2.1484606597829332</v>
      </c>
      <c r="I161" s="484"/>
      <c r="J161" s="485">
        <f>SUM(J160:J160)</f>
        <v>2.1735155945908979</v>
      </c>
      <c r="K161" s="473"/>
      <c r="L161" s="474"/>
      <c r="AMF161"/>
      <c r="AMG161"/>
    </row>
    <row r="162" spans="1:1021" x14ac:dyDescent="0.2">
      <c r="A162" s="467" t="s">
        <v>524</v>
      </c>
      <c r="B162" s="478">
        <f>1/'Prod. GEXCRI'!H18</f>
        <v>1.0000000000000001E-5</v>
      </c>
      <c r="C162" s="469">
        <f>C129</f>
        <v>5460.116076777922</v>
      </c>
      <c r="D162" s="469">
        <f>B162*C162</f>
        <v>5.4601160767779225E-2</v>
      </c>
      <c r="E162" s="469">
        <f>C130</f>
        <v>5522.339621812429</v>
      </c>
      <c r="F162" s="469">
        <f>B162*E162</f>
        <v>5.5223396218124297E-2</v>
      </c>
      <c r="G162" s="469">
        <f>C131</f>
        <v>5585.9977154356266</v>
      </c>
      <c r="H162" s="469">
        <f>B162*G162</f>
        <v>5.5859977154356269E-2</v>
      </c>
      <c r="I162" s="469">
        <f>C132</f>
        <v>5651.1405459363341</v>
      </c>
      <c r="J162" s="469">
        <f>B162*I162</f>
        <v>5.6511405459363347E-2</v>
      </c>
      <c r="AMF162"/>
      <c r="AMG162"/>
    </row>
    <row r="163" spans="1:1021" x14ac:dyDescent="0.2">
      <c r="A163" s="482" t="s">
        <v>525</v>
      </c>
      <c r="B163" s="486"/>
      <c r="C163" s="484"/>
      <c r="D163" s="485">
        <f>SUM(D162:D162)</f>
        <v>5.4601160767779225E-2</v>
      </c>
      <c r="E163" s="484"/>
      <c r="F163" s="485">
        <f>SUM(F162:F162)</f>
        <v>5.5223396218124297E-2</v>
      </c>
      <c r="G163" s="484"/>
      <c r="H163" s="485">
        <f>SUM(H162:H162)</f>
        <v>5.5859977154356269E-2</v>
      </c>
      <c r="I163" s="484"/>
      <c r="J163" s="485">
        <f>SUM(J162:J162)</f>
        <v>5.6511405459363347E-2</v>
      </c>
      <c r="AMF163"/>
      <c r="AMG163"/>
    </row>
    <row r="164" spans="1:1021" x14ac:dyDescent="0.2">
      <c r="A164" s="467" t="s">
        <v>526</v>
      </c>
      <c r="B164" s="478">
        <f>1/'Prod. GEXCRI'!I18</f>
        <v>1.1111111111111112E-4</v>
      </c>
      <c r="C164" s="469">
        <f>C129</f>
        <v>5460.116076777922</v>
      </c>
      <c r="D164" s="469">
        <f>B164*C164</f>
        <v>0.60667956408643575</v>
      </c>
      <c r="E164" s="469">
        <f>C130</f>
        <v>5522.339621812429</v>
      </c>
      <c r="F164" s="469">
        <f>B164*E164</f>
        <v>0.61359329131249218</v>
      </c>
      <c r="G164" s="469">
        <f>C131</f>
        <v>5585.9977154356266</v>
      </c>
      <c r="H164" s="469">
        <f>B164*G164</f>
        <v>0.62066641282618074</v>
      </c>
      <c r="I164" s="469">
        <f>C132</f>
        <v>5651.1405459363341</v>
      </c>
      <c r="J164" s="469">
        <f>B164*I164</f>
        <v>0.62790450510403717</v>
      </c>
      <c r="AMF164"/>
      <c r="AMG164"/>
    </row>
    <row r="165" spans="1:1021" x14ac:dyDescent="0.2">
      <c r="A165" s="482" t="s">
        <v>527</v>
      </c>
      <c r="B165" s="486"/>
      <c r="C165" s="484"/>
      <c r="D165" s="485">
        <f>SUM(D164:D164)</f>
        <v>0.60667956408643575</v>
      </c>
      <c r="E165" s="484"/>
      <c r="F165" s="485">
        <f>SUM(F164:F164)</f>
        <v>0.61359329131249218</v>
      </c>
      <c r="G165" s="484"/>
      <c r="H165" s="485">
        <f>SUM(H164:H164)</f>
        <v>0.62066641282618074</v>
      </c>
      <c r="I165" s="484"/>
      <c r="J165" s="485">
        <f>SUM(J164:J164)</f>
        <v>0.62790450510403717</v>
      </c>
      <c r="AMF165"/>
      <c r="AMG165"/>
    </row>
    <row r="166" spans="1:1021" x14ac:dyDescent="0.2">
      <c r="A166" s="475"/>
      <c r="B166" s="480"/>
      <c r="C166" s="480"/>
      <c r="D166" s="480"/>
      <c r="AMF166"/>
      <c r="AMG166"/>
    </row>
    <row r="167" spans="1:1021" ht="14.25" customHeight="1" x14ac:dyDescent="0.2">
      <c r="A167" s="912" t="s">
        <v>528</v>
      </c>
      <c r="B167" s="912"/>
      <c r="C167" s="912" t="s">
        <v>506</v>
      </c>
      <c r="D167" s="912"/>
      <c r="E167" s="912" t="s">
        <v>507</v>
      </c>
      <c r="F167" s="912"/>
      <c r="G167" s="912" t="s">
        <v>508</v>
      </c>
      <c r="H167" s="912"/>
      <c r="I167" s="912" t="s">
        <v>509</v>
      </c>
      <c r="J167" s="912"/>
      <c r="AMF167"/>
      <c r="AMG167"/>
    </row>
    <row r="168" spans="1:1021" ht="38.25" x14ac:dyDescent="0.2">
      <c r="A168" s="465" t="s">
        <v>510</v>
      </c>
      <c r="B168" s="466" t="s">
        <v>517</v>
      </c>
      <c r="C168" s="466" t="s">
        <v>512</v>
      </c>
      <c r="D168" s="466" t="s">
        <v>513</v>
      </c>
      <c r="E168" s="466" t="s">
        <v>512</v>
      </c>
      <c r="F168" s="466" t="s">
        <v>513</v>
      </c>
      <c r="G168" s="466" t="s">
        <v>512</v>
      </c>
      <c r="H168" s="466" t="s">
        <v>513</v>
      </c>
      <c r="I168" s="466" t="s">
        <v>512</v>
      </c>
      <c r="J168" s="466" t="s">
        <v>513</v>
      </c>
      <c r="AMF168"/>
      <c r="AMG168"/>
    </row>
    <row r="169" spans="1:1021" x14ac:dyDescent="0.2">
      <c r="A169" s="487" t="s">
        <v>529</v>
      </c>
      <c r="B169" s="478">
        <f>(1/'Prod. GEXCRI'!J18)*(1/(30/7*44*6))*8</f>
        <v>4.4191919191919199E-5</v>
      </c>
      <c r="C169" s="469">
        <f>E129</f>
        <v>5643.2416567922292</v>
      </c>
      <c r="D169" s="469">
        <f>B169*C169</f>
        <v>0.24938567927743441</v>
      </c>
      <c r="E169" s="469">
        <f>E130</f>
        <v>5707.5521030234795</v>
      </c>
      <c r="F169" s="469">
        <f>B169*E169</f>
        <v>0.25222768132048207</v>
      </c>
      <c r="G169" s="469">
        <f>E131</f>
        <v>5773.3452108393121</v>
      </c>
      <c r="H169" s="469">
        <f>B169*G169</f>
        <v>0.25513520502446457</v>
      </c>
      <c r="I169" s="469">
        <f>E132</f>
        <v>5840.6728517820447</v>
      </c>
      <c r="J169" s="469">
        <f>B169*I169</f>
        <v>0.25811054269238837</v>
      </c>
      <c r="AMF169"/>
      <c r="AMG169"/>
    </row>
    <row r="170" spans="1:1021" x14ac:dyDescent="0.2">
      <c r="A170" s="487" t="s">
        <v>532</v>
      </c>
      <c r="B170" s="478">
        <f>1/'Prod. GEXCRI'!K18*16*(1/188.76)</f>
        <v>2.8254573709119167E-4</v>
      </c>
      <c r="C170" s="469">
        <f>C129</f>
        <v>5460.116076777922</v>
      </c>
      <c r="D170" s="469">
        <f>B170*C170</f>
        <v>1.5427325215166836</v>
      </c>
      <c r="E170" s="469">
        <f>C130</f>
        <v>5522.339621812429</v>
      </c>
      <c r="F170" s="469">
        <f>B170*E170</f>
        <v>1.5603135189128854</v>
      </c>
      <c r="G170" s="469">
        <f>C131</f>
        <v>5585.9977154356266</v>
      </c>
      <c r="H170" s="469">
        <f>B170*G170</f>
        <v>1.5782998418974719</v>
      </c>
      <c r="I170" s="469">
        <f>C132</f>
        <v>5651.1405459363341</v>
      </c>
      <c r="J170" s="469">
        <f>B170*I170</f>
        <v>1.5967056709575007</v>
      </c>
      <c r="AMF170"/>
      <c r="AMG170"/>
    </row>
    <row r="171" spans="1:1021" x14ac:dyDescent="0.2">
      <c r="A171" s="488" t="s">
        <v>533</v>
      </c>
      <c r="B171" s="489"/>
      <c r="C171" s="490"/>
      <c r="D171" s="491">
        <f>SUM(D170:D170)</f>
        <v>1.5427325215166836</v>
      </c>
      <c r="E171" s="490"/>
      <c r="F171" s="491">
        <f>SUM(F170:F170)</f>
        <v>1.5603135189128854</v>
      </c>
      <c r="G171" s="490"/>
      <c r="H171" s="491">
        <f>SUM(H170:H170)</f>
        <v>1.5782998418974719</v>
      </c>
      <c r="I171" s="490"/>
      <c r="J171" s="491">
        <f>SUM(J170:J170)</f>
        <v>1.5967056709575007</v>
      </c>
      <c r="K171" s="473"/>
      <c r="L171" s="474"/>
      <c r="AMF171"/>
      <c r="AMG171"/>
    </row>
    <row r="172" spans="1:1021" x14ac:dyDescent="0.2">
      <c r="A172" s="467" t="s">
        <v>534</v>
      </c>
      <c r="B172" s="478">
        <f>(1/'Prod. GEXCRI'!L18*16)*(1/188.76)</f>
        <v>2.8254573709119167E-4</v>
      </c>
      <c r="C172" s="469">
        <f>C129</f>
        <v>5460.116076777922</v>
      </c>
      <c r="D172" s="469">
        <f>B172*C172</f>
        <v>1.5427325215166836</v>
      </c>
      <c r="E172" s="469">
        <f>C130</f>
        <v>5522.339621812429</v>
      </c>
      <c r="F172" s="469">
        <f>B172*E172</f>
        <v>1.5603135189128854</v>
      </c>
      <c r="G172" s="469">
        <f>C131</f>
        <v>5585.9977154356266</v>
      </c>
      <c r="H172" s="469">
        <f>B172*G172</f>
        <v>1.5782998418974719</v>
      </c>
      <c r="I172" s="469">
        <f>C132</f>
        <v>5651.1405459363341</v>
      </c>
      <c r="J172" s="469">
        <f>B172*I172</f>
        <v>1.5967056709575007</v>
      </c>
      <c r="AMF172"/>
      <c r="AMG172"/>
    </row>
    <row r="173" spans="1:1021" x14ac:dyDescent="0.2">
      <c r="A173" s="488" t="s">
        <v>535</v>
      </c>
      <c r="B173" s="489"/>
      <c r="C173" s="490"/>
      <c r="D173" s="491">
        <f>SUM(D172:D172)</f>
        <v>1.5427325215166836</v>
      </c>
      <c r="E173" s="490"/>
      <c r="F173" s="491">
        <f>SUM(F172:F172)</f>
        <v>1.5603135189128854</v>
      </c>
      <c r="G173" s="490"/>
      <c r="H173" s="491">
        <f>SUM(H172:H172)</f>
        <v>1.5782998418974719</v>
      </c>
      <c r="I173" s="490"/>
      <c r="J173" s="491">
        <f>SUM(J172:J172)</f>
        <v>1.5967056709575007</v>
      </c>
      <c r="K173" s="473"/>
      <c r="L173" s="474"/>
      <c r="AMF173"/>
      <c r="AMG173"/>
    </row>
    <row r="174" spans="1:1021" x14ac:dyDescent="0.2">
      <c r="A174" s="464"/>
    </row>
  </sheetData>
  <mergeCells count="58">
    <mergeCell ref="I158:J158"/>
    <mergeCell ref="I167:J167"/>
    <mergeCell ref="A167:B167"/>
    <mergeCell ref="C167:D167"/>
    <mergeCell ref="E167:F167"/>
    <mergeCell ref="G167:H167"/>
    <mergeCell ref="A158:B158"/>
    <mergeCell ref="C158:D158"/>
    <mergeCell ref="E158:F158"/>
    <mergeCell ref="G158:H158"/>
    <mergeCell ref="I148:J148"/>
    <mergeCell ref="A153:B153"/>
    <mergeCell ref="C153:D153"/>
    <mergeCell ref="E153:F153"/>
    <mergeCell ref="G153:H153"/>
    <mergeCell ref="I153:J153"/>
    <mergeCell ref="A148:B148"/>
    <mergeCell ref="C148:D148"/>
    <mergeCell ref="E148:F148"/>
    <mergeCell ref="G148:H148"/>
    <mergeCell ref="E138:F138"/>
    <mergeCell ref="G138:H138"/>
    <mergeCell ref="I138:J138"/>
    <mergeCell ref="A143:B143"/>
    <mergeCell ref="C143:D143"/>
    <mergeCell ref="E143:F143"/>
    <mergeCell ref="G143:H143"/>
    <mergeCell ref="I143:J143"/>
    <mergeCell ref="A126:B126"/>
    <mergeCell ref="A127:B127"/>
    <mergeCell ref="A128:B128"/>
    <mergeCell ref="A138:B138"/>
    <mergeCell ref="C138:D138"/>
    <mergeCell ref="A122:B122"/>
    <mergeCell ref="A123:B123"/>
    <mergeCell ref="A124:B124"/>
    <mergeCell ref="A125:B125"/>
    <mergeCell ref="A117:B117"/>
    <mergeCell ref="A118:B118"/>
    <mergeCell ref="A119:B119"/>
    <mergeCell ref="A120:B120"/>
    <mergeCell ref="A121:B121"/>
    <mergeCell ref="A1:E1"/>
    <mergeCell ref="A2:E2"/>
    <mergeCell ref="A3:E3"/>
    <mergeCell ref="A50:B50"/>
    <mergeCell ref="A61:B61"/>
    <mergeCell ref="A21:E21"/>
    <mergeCell ref="A51:E51"/>
    <mergeCell ref="A82:E82"/>
    <mergeCell ref="A93:E93"/>
    <mergeCell ref="A115:E115"/>
    <mergeCell ref="A116:E116"/>
    <mergeCell ref="A11:E11"/>
    <mergeCell ref="A20:B20"/>
    <mergeCell ref="A62:E62"/>
    <mergeCell ref="A92:B92"/>
    <mergeCell ref="A109:A11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FD6"/>
  </sheetPr>
  <dimension ref="A1:AME137"/>
  <sheetViews>
    <sheetView topLeftCell="A75" zoomScale="80" zoomScaleNormal="80" workbookViewId="0">
      <selection activeCell="O23" sqref="O23"/>
    </sheetView>
  </sheetViews>
  <sheetFormatPr defaultRowHeight="14.25" x14ac:dyDescent="0.2"/>
  <cols>
    <col min="1" max="1" width="55.5" style="332" customWidth="1"/>
    <col min="2" max="2" width="17" style="332" customWidth="1"/>
    <col min="3" max="3" width="15.25" style="332" customWidth="1"/>
    <col min="4" max="4" width="16.25" style="332" customWidth="1"/>
    <col min="5" max="1019" width="9" style="332" customWidth="1"/>
    <col min="1020" max="1025" width="8.375" customWidth="1"/>
  </cols>
  <sheetData>
    <row r="1" spans="1:4" ht="15.75" x14ac:dyDescent="0.2">
      <c r="A1" s="913" t="s">
        <v>399</v>
      </c>
      <c r="B1" s="913"/>
      <c r="C1" s="913"/>
      <c r="D1" s="913"/>
    </row>
    <row r="2" spans="1:4" ht="15.75" x14ac:dyDescent="0.2">
      <c r="A2" s="914" t="s">
        <v>400</v>
      </c>
      <c r="B2" s="914"/>
      <c r="C2" s="914"/>
      <c r="D2" s="914"/>
    </row>
    <row r="3" spans="1:4" ht="15.75" customHeight="1" x14ac:dyDescent="0.2">
      <c r="A3" s="914" t="str">
        <f ca="1">'GEXCHA Limp.Ord. '!A3</f>
        <v>PROCESSO 35014.173954/2023-61</v>
      </c>
      <c r="B3" s="914"/>
      <c r="C3" s="914"/>
      <c r="D3" s="914"/>
    </row>
    <row r="4" spans="1:4" ht="15.75" x14ac:dyDescent="0.2">
      <c r="A4" s="339"/>
      <c r="B4" s="340"/>
      <c r="C4" s="492" t="s">
        <v>536</v>
      </c>
      <c r="D4" s="343" t="s">
        <v>402</v>
      </c>
    </row>
    <row r="5" spans="1:4" x14ac:dyDescent="0.2">
      <c r="A5" s="344"/>
      <c r="B5" s="345" t="s">
        <v>405</v>
      </c>
      <c r="C5" s="493">
        <f>MC!C12</f>
        <v>1440.84</v>
      </c>
      <c r="D5" s="348">
        <f>MC!E12</f>
        <v>1178.8690909090908</v>
      </c>
    </row>
    <row r="6" spans="1:4" x14ac:dyDescent="0.2">
      <c r="A6" s="344"/>
      <c r="B6" s="345" t="s">
        <v>406</v>
      </c>
      <c r="C6" s="494">
        <f>MC!D8</f>
        <v>44927</v>
      </c>
      <c r="D6" s="351">
        <f>MC!D8</f>
        <v>44927</v>
      </c>
    </row>
    <row r="7" spans="1:4" x14ac:dyDescent="0.2">
      <c r="A7" s="344"/>
      <c r="B7" s="345" t="s">
        <v>407</v>
      </c>
      <c r="C7" s="494" t="str">
        <f>MC!C8</f>
        <v xml:space="preserve"> SC000150/2023</v>
      </c>
      <c r="D7" s="351" t="str">
        <f>MC!C8</f>
        <v xml:space="preserve"> SC000150/2023</v>
      </c>
    </row>
    <row r="8" spans="1:4" x14ac:dyDescent="0.2">
      <c r="A8" s="344"/>
      <c r="B8" s="345" t="s">
        <v>408</v>
      </c>
      <c r="C8" s="495" t="str">
        <f>MC!E8</f>
        <v>5143-20</v>
      </c>
      <c r="D8" s="354" t="str">
        <f>MC!E8</f>
        <v>5143-20</v>
      </c>
    </row>
    <row r="9" spans="1:4" x14ac:dyDescent="0.2">
      <c r="A9" s="915"/>
      <c r="B9" s="915"/>
      <c r="C9" s="915"/>
      <c r="D9" s="915"/>
    </row>
    <row r="10" spans="1:4" ht="66.75" customHeight="1" x14ac:dyDescent="0.2">
      <c r="A10" s="355" t="s">
        <v>409</v>
      </c>
      <c r="B10" s="356" t="s">
        <v>410</v>
      </c>
      <c r="C10" s="356" t="s">
        <v>536</v>
      </c>
      <c r="D10" s="357" t="s">
        <v>537</v>
      </c>
    </row>
    <row r="11" spans="1:4" ht="14.25" customHeight="1" x14ac:dyDescent="0.2">
      <c r="A11" s="358" t="s">
        <v>413</v>
      </c>
      <c r="B11" s="358"/>
      <c r="C11" s="358"/>
      <c r="D11" s="358"/>
    </row>
    <row r="12" spans="1:4" ht="14.25" customHeight="1" x14ac:dyDescent="0.2">
      <c r="A12" s="359" t="s">
        <v>414</v>
      </c>
      <c r="B12" s="360" t="s">
        <v>415</v>
      </c>
      <c r="C12" s="360" t="s">
        <v>416</v>
      </c>
      <c r="D12" s="361" t="s">
        <v>416</v>
      </c>
    </row>
    <row r="13" spans="1:4" ht="14.25" customHeight="1" x14ac:dyDescent="0.2">
      <c r="A13" s="362" t="s">
        <v>417</v>
      </c>
      <c r="B13" s="363"/>
      <c r="C13" s="364">
        <f>C5</f>
        <v>1440.84</v>
      </c>
      <c r="D13" s="366">
        <f>MC!E12</f>
        <v>1178.8690909090908</v>
      </c>
    </row>
    <row r="14" spans="1:4" ht="14.25" customHeight="1" x14ac:dyDescent="0.2">
      <c r="A14" s="362" t="s">
        <v>418</v>
      </c>
      <c r="B14" s="367">
        <v>0.2</v>
      </c>
      <c r="C14" s="364">
        <f>C13*$B$14</f>
        <v>288.16800000000001</v>
      </c>
      <c r="D14" s="366">
        <f>D13*$B$14</f>
        <v>235.77381818181817</v>
      </c>
    </row>
    <row r="15" spans="1:4" ht="14.25" customHeight="1" x14ac:dyDescent="0.2">
      <c r="A15" s="362" t="s">
        <v>419</v>
      </c>
      <c r="B15" s="368"/>
      <c r="C15" s="364"/>
      <c r="D15" s="366"/>
    </row>
    <row r="16" spans="1:4" ht="14.25" customHeight="1" x14ac:dyDescent="0.2">
      <c r="A16" s="362" t="s">
        <v>420</v>
      </c>
      <c r="B16" s="368"/>
      <c r="C16" s="364"/>
      <c r="D16" s="366"/>
    </row>
    <row r="17" spans="1:4" ht="14.25" customHeight="1" x14ac:dyDescent="0.2">
      <c r="A17" s="362" t="s">
        <v>421</v>
      </c>
      <c r="B17" s="368"/>
      <c r="C17" s="364"/>
      <c r="D17" s="366"/>
    </row>
    <row r="18" spans="1:4" ht="14.25" customHeight="1" x14ac:dyDescent="0.2">
      <c r="A18" s="362" t="s">
        <v>538</v>
      </c>
      <c r="B18" s="496"/>
      <c r="C18" s="364"/>
      <c r="D18" s="366"/>
    </row>
    <row r="19" spans="1:4" ht="14.25" customHeight="1" x14ac:dyDescent="0.2">
      <c r="A19" s="369" t="s">
        <v>423</v>
      </c>
      <c r="B19" s="370"/>
      <c r="C19" s="371">
        <f>SUM(C13:C18)</f>
        <v>1729.0079999999998</v>
      </c>
      <c r="D19" s="372">
        <f>SUM(D13:D18)</f>
        <v>1414.6429090909089</v>
      </c>
    </row>
    <row r="20" spans="1:4" ht="14.25" customHeight="1" x14ac:dyDescent="0.2">
      <c r="A20" s="881"/>
      <c r="B20" s="881"/>
      <c r="C20" s="374"/>
      <c r="D20" s="375"/>
    </row>
    <row r="21" spans="1:4" ht="14.25" customHeight="1" x14ac:dyDescent="0.2">
      <c r="A21" s="919" t="s">
        <v>424</v>
      </c>
      <c r="B21" s="919"/>
      <c r="C21" s="919"/>
      <c r="D21" s="919"/>
    </row>
    <row r="22" spans="1:4" ht="14.25" customHeight="1" x14ac:dyDescent="0.2">
      <c r="A22" s="376" t="s">
        <v>425</v>
      </c>
      <c r="B22" s="377" t="s">
        <v>415</v>
      </c>
      <c r="C22" s="377" t="s">
        <v>416</v>
      </c>
      <c r="D22" s="378" t="s">
        <v>416</v>
      </c>
    </row>
    <row r="23" spans="1:4" ht="14.25" customHeight="1" x14ac:dyDescent="0.2">
      <c r="A23" s="379" t="s">
        <v>426</v>
      </c>
      <c r="B23" s="367">
        <f>1/12</f>
        <v>8.3333333333333329E-2</v>
      </c>
      <c r="C23" s="364">
        <f>ROUND($B23*C$19,2)</f>
        <v>144.08000000000001</v>
      </c>
      <c r="D23" s="366">
        <f>ROUND($B23*D$19,2)</f>
        <v>117.89</v>
      </c>
    </row>
    <row r="24" spans="1:4" ht="14.25" customHeight="1" x14ac:dyDescent="0.2">
      <c r="A24" s="379" t="s">
        <v>427</v>
      </c>
      <c r="B24" s="367">
        <f>1/3*1/12</f>
        <v>2.7777777777777776E-2</v>
      </c>
      <c r="C24" s="364">
        <f>C$19*$B$24</f>
        <v>48.027999999999992</v>
      </c>
      <c r="D24" s="366">
        <f>D$19*$B$24</f>
        <v>39.295636363636355</v>
      </c>
    </row>
    <row r="25" spans="1:4" ht="14.25" customHeight="1" x14ac:dyDescent="0.2">
      <c r="A25" s="369" t="s">
        <v>423</v>
      </c>
      <c r="B25" s="380">
        <f>SUM(B23:B24)</f>
        <v>0.1111111111111111</v>
      </c>
      <c r="C25" s="371">
        <f>SUM(C23:C24)</f>
        <v>192.108</v>
      </c>
      <c r="D25" s="372">
        <f>SUM(D23:D24)</f>
        <v>157.18563636363635</v>
      </c>
    </row>
    <row r="26" spans="1:4" ht="14.25" customHeight="1" x14ac:dyDescent="0.2">
      <c r="A26" s="376" t="s">
        <v>428</v>
      </c>
      <c r="B26" s="377" t="s">
        <v>415</v>
      </c>
      <c r="C26" s="377" t="s">
        <v>416</v>
      </c>
      <c r="D26" s="378" t="s">
        <v>416</v>
      </c>
    </row>
    <row r="27" spans="1:4" ht="14.25" customHeight="1" x14ac:dyDescent="0.2">
      <c r="A27" s="376" t="s">
        <v>429</v>
      </c>
      <c r="B27" s="381"/>
      <c r="C27" s="381"/>
      <c r="D27" s="382"/>
    </row>
    <row r="28" spans="1:4" ht="14.25" customHeight="1" x14ac:dyDescent="0.2">
      <c r="A28" s="379" t="s">
        <v>430</v>
      </c>
      <c r="B28" s="367">
        <v>0.2</v>
      </c>
      <c r="C28" s="383">
        <f t="shared" ref="C28:C35" si="0">ROUND(($C$19+$C$25)*B28,2)</f>
        <v>384.22</v>
      </c>
      <c r="D28" s="384">
        <f t="shared" ref="D28:D35" si="1">ROUND(($D$19+$D$25)*B28,2)</f>
        <v>314.37</v>
      </c>
    </row>
    <row r="29" spans="1:4" ht="14.25" customHeight="1" x14ac:dyDescent="0.2">
      <c r="A29" s="379" t="s">
        <v>431</v>
      </c>
      <c r="B29" s="367">
        <v>2.5000000000000001E-2</v>
      </c>
      <c r="C29" s="383">
        <f t="shared" si="0"/>
        <v>48.03</v>
      </c>
      <c r="D29" s="384">
        <f t="shared" si="1"/>
        <v>39.299999999999997</v>
      </c>
    </row>
    <row r="30" spans="1:4" ht="14.25" customHeight="1" x14ac:dyDescent="0.2">
      <c r="A30" s="379" t="s">
        <v>432</v>
      </c>
      <c r="B30" s="367">
        <v>0.03</v>
      </c>
      <c r="C30" s="383">
        <f t="shared" si="0"/>
        <v>57.63</v>
      </c>
      <c r="D30" s="384">
        <f t="shared" si="1"/>
        <v>47.15</v>
      </c>
    </row>
    <row r="31" spans="1:4" ht="14.25" customHeight="1" x14ac:dyDescent="0.2">
      <c r="A31" s="379" t="s">
        <v>433</v>
      </c>
      <c r="B31" s="367">
        <v>1.4999999999999999E-2</v>
      </c>
      <c r="C31" s="383">
        <f t="shared" si="0"/>
        <v>28.82</v>
      </c>
      <c r="D31" s="384">
        <f t="shared" si="1"/>
        <v>23.58</v>
      </c>
    </row>
    <row r="32" spans="1:4" ht="14.25" customHeight="1" x14ac:dyDescent="0.2">
      <c r="A32" s="379" t="s">
        <v>434</v>
      </c>
      <c r="B32" s="367">
        <v>0.01</v>
      </c>
      <c r="C32" s="383">
        <f t="shared" si="0"/>
        <v>19.21</v>
      </c>
      <c r="D32" s="384">
        <f t="shared" si="1"/>
        <v>15.72</v>
      </c>
    </row>
    <row r="33" spans="1:4" ht="14.25" customHeight="1" x14ac:dyDescent="0.2">
      <c r="A33" s="379" t="s">
        <v>435</v>
      </c>
      <c r="B33" s="367">
        <v>6.0000000000000001E-3</v>
      </c>
      <c r="C33" s="383">
        <f t="shared" si="0"/>
        <v>11.53</v>
      </c>
      <c r="D33" s="384">
        <f t="shared" si="1"/>
        <v>9.43</v>
      </c>
    </row>
    <row r="34" spans="1:4" ht="14.25" customHeight="1" x14ac:dyDescent="0.2">
      <c r="A34" s="379" t="s">
        <v>436</v>
      </c>
      <c r="B34" s="367">
        <v>2E-3</v>
      </c>
      <c r="C34" s="383">
        <f t="shared" si="0"/>
        <v>3.84</v>
      </c>
      <c r="D34" s="384">
        <f t="shared" si="1"/>
        <v>3.14</v>
      </c>
    </row>
    <row r="35" spans="1:4" ht="14.25" customHeight="1" x14ac:dyDescent="0.2">
      <c r="A35" s="379" t="s">
        <v>437</v>
      </c>
      <c r="B35" s="367">
        <v>0.08</v>
      </c>
      <c r="C35" s="383">
        <f t="shared" si="0"/>
        <v>153.69</v>
      </c>
      <c r="D35" s="384">
        <f t="shared" si="1"/>
        <v>125.75</v>
      </c>
    </row>
    <row r="36" spans="1:4" ht="14.25" customHeight="1" x14ac:dyDescent="0.2">
      <c r="A36" s="369" t="s">
        <v>423</v>
      </c>
      <c r="B36" s="380">
        <f>SUM(B28:B35)</f>
        <v>0.36800000000000005</v>
      </c>
      <c r="C36" s="371">
        <f>SUM(C27:C35)</f>
        <v>706.97</v>
      </c>
      <c r="D36" s="372">
        <f>SUM(D27:D35)</f>
        <v>578.44000000000005</v>
      </c>
    </row>
    <row r="37" spans="1:4" ht="14.25" customHeight="1" x14ac:dyDescent="0.2">
      <c r="A37" s="376" t="s">
        <v>438</v>
      </c>
      <c r="B37" s="377" t="s">
        <v>439</v>
      </c>
      <c r="C37" s="377" t="s">
        <v>416</v>
      </c>
      <c r="D37" s="378" t="s">
        <v>416</v>
      </c>
    </row>
    <row r="38" spans="1:4" ht="14.25" customHeight="1" x14ac:dyDescent="0.2">
      <c r="A38" s="379" t="s">
        <v>440</v>
      </c>
      <c r="B38" s="385">
        <f>MC!J83</f>
        <v>3.0749999999999997</v>
      </c>
      <c r="C38" s="364">
        <f>ROUND(((2*22*$B$38)-0.06*C$13),2)</f>
        <v>48.85</v>
      </c>
      <c r="D38" s="366">
        <f>ROUND(((2*22*$B$38)-0.06*D$13),2)</f>
        <v>64.569999999999993</v>
      </c>
    </row>
    <row r="39" spans="1:4" ht="14.25" customHeight="1" x14ac:dyDescent="0.2">
      <c r="A39" s="379" t="s">
        <v>441</v>
      </c>
      <c r="B39" s="386"/>
      <c r="C39" s="383">
        <f>MC!E20</f>
        <v>463.26</v>
      </c>
      <c r="D39" s="384">
        <f>MC!E21</f>
        <v>380.93</v>
      </c>
    </row>
    <row r="40" spans="1:4" ht="14.25" customHeight="1" x14ac:dyDescent="0.2">
      <c r="A40" s="379" t="s">
        <v>442</v>
      </c>
      <c r="B40" s="367">
        <f>MC!C25</f>
        <v>0</v>
      </c>
      <c r="C40" s="383"/>
      <c r="D40" s="384"/>
    </row>
    <row r="41" spans="1:4" ht="14.25" customHeight="1" x14ac:dyDescent="0.2">
      <c r="A41" s="379" t="s">
        <v>443</v>
      </c>
      <c r="B41" s="387">
        <f>MC!E24</f>
        <v>11</v>
      </c>
      <c r="C41" s="383">
        <f>B41</f>
        <v>11</v>
      </c>
      <c r="D41" s="384">
        <f>B41</f>
        <v>11</v>
      </c>
    </row>
    <row r="42" spans="1:4" ht="14.25" customHeight="1" x14ac:dyDescent="0.2">
      <c r="A42" s="379" t="s">
        <v>444</v>
      </c>
      <c r="B42" s="367">
        <f>MC!C23</f>
        <v>7.0000000000000007E-2</v>
      </c>
      <c r="C42" s="383">
        <f>$B$42*C19</f>
        <v>121.03055999999999</v>
      </c>
      <c r="D42" s="383">
        <f>$B$42*D19</f>
        <v>99.025003636363635</v>
      </c>
    </row>
    <row r="43" spans="1:4" ht="14.25" customHeight="1" x14ac:dyDescent="0.2">
      <c r="A43" s="379" t="s">
        <v>445</v>
      </c>
      <c r="B43" s="367"/>
      <c r="C43" s="383"/>
      <c r="D43" s="384"/>
    </row>
    <row r="44" spans="1:4" ht="14.25" customHeight="1" x14ac:dyDescent="0.2">
      <c r="A44" s="369" t="s">
        <v>423</v>
      </c>
      <c r="B44" s="370"/>
      <c r="C44" s="371">
        <f>SUM(C38:C43)</f>
        <v>644.14056000000005</v>
      </c>
      <c r="D44" s="372">
        <f>SUM(D38:D43)</f>
        <v>555.52500363636364</v>
      </c>
    </row>
    <row r="45" spans="1:4" ht="14.25" customHeight="1" x14ac:dyDescent="0.2">
      <c r="A45" s="359" t="s">
        <v>446</v>
      </c>
      <c r="B45" s="360" t="s">
        <v>415</v>
      </c>
      <c r="C45" s="360" t="s">
        <v>416</v>
      </c>
      <c r="D45" s="361" t="s">
        <v>416</v>
      </c>
    </row>
    <row r="46" spans="1:4" ht="14.25" customHeight="1" x14ac:dyDescent="0.2">
      <c r="A46" s="379" t="s">
        <v>425</v>
      </c>
      <c r="B46" s="388">
        <f>B25</f>
        <v>0.1111111111111111</v>
      </c>
      <c r="C46" s="389">
        <f>C25</f>
        <v>192.108</v>
      </c>
      <c r="D46" s="390">
        <f>D25</f>
        <v>157.18563636363635</v>
      </c>
    </row>
    <row r="47" spans="1:4" ht="14.25" customHeight="1" x14ac:dyDescent="0.2">
      <c r="A47" s="379" t="s">
        <v>447</v>
      </c>
      <c r="B47" s="388">
        <f>B36</f>
        <v>0.36800000000000005</v>
      </c>
      <c r="C47" s="389">
        <f>C36</f>
        <v>706.97</v>
      </c>
      <c r="D47" s="390">
        <f>D36</f>
        <v>578.44000000000005</v>
      </c>
    </row>
    <row r="48" spans="1:4" ht="14.25" customHeight="1" x14ac:dyDescent="0.2">
      <c r="A48" s="379" t="s">
        <v>438</v>
      </c>
      <c r="B48" s="388"/>
      <c r="C48" s="389">
        <f>C44</f>
        <v>644.14056000000005</v>
      </c>
      <c r="D48" s="390">
        <f>D44</f>
        <v>555.52500363636364</v>
      </c>
    </row>
    <row r="49" spans="1:4" ht="14.25" customHeight="1" x14ac:dyDescent="0.2">
      <c r="A49" s="369" t="s">
        <v>423</v>
      </c>
      <c r="B49" s="370"/>
      <c r="C49" s="371">
        <f>SUM(C46:C48)</f>
        <v>1543.21856</v>
      </c>
      <c r="D49" s="372">
        <f>SUM(D46:D48)</f>
        <v>1291.1506400000001</v>
      </c>
    </row>
    <row r="50" spans="1:4" ht="14.25" customHeight="1" x14ac:dyDescent="0.2">
      <c r="A50" s="881"/>
      <c r="B50" s="881"/>
      <c r="C50" s="374"/>
      <c r="D50" s="375"/>
    </row>
    <row r="51" spans="1:4" s="391" customFormat="1" ht="14.25" customHeight="1" x14ac:dyDescent="0.2">
      <c r="A51" s="919" t="s">
        <v>448</v>
      </c>
      <c r="B51" s="919"/>
      <c r="C51" s="919"/>
      <c r="D51" s="919"/>
    </row>
    <row r="52" spans="1:4" ht="14.25" customHeight="1" x14ac:dyDescent="0.2">
      <c r="A52" s="359" t="s">
        <v>449</v>
      </c>
      <c r="B52" s="360" t="s">
        <v>415</v>
      </c>
      <c r="C52" s="360" t="s">
        <v>416</v>
      </c>
      <c r="D52" s="361" t="s">
        <v>416</v>
      </c>
    </row>
    <row r="53" spans="1:4" ht="14.25" customHeight="1" x14ac:dyDescent="0.2">
      <c r="A53" s="376" t="s">
        <v>450</v>
      </c>
      <c r="B53" s="392"/>
      <c r="C53" s="392"/>
      <c r="D53" s="393"/>
    </row>
    <row r="54" spans="1:4" ht="14.25" customHeight="1" x14ac:dyDescent="0.2">
      <c r="A54" s="379" t="s">
        <v>451</v>
      </c>
      <c r="B54" s="388">
        <f>1/12*0.05</f>
        <v>4.1666666666666666E-3</v>
      </c>
      <c r="C54" s="394">
        <f>C19*$B54</f>
        <v>7.2041999999999993</v>
      </c>
      <c r="D54" s="497">
        <f>D19*$B54</f>
        <v>5.8943454545454541</v>
      </c>
    </row>
    <row r="55" spans="1:4" ht="14.25" customHeight="1" x14ac:dyDescent="0.2">
      <c r="A55" s="379" t="s">
        <v>452</v>
      </c>
      <c r="B55" s="388">
        <f>B35*B54</f>
        <v>3.3333333333333332E-4</v>
      </c>
      <c r="C55" s="394">
        <f>$B$55*C19</f>
        <v>0.57633599999999996</v>
      </c>
      <c r="D55" s="497">
        <f>$B$55*D19</f>
        <v>0.47154763636363628</v>
      </c>
    </row>
    <row r="56" spans="1:4" ht="14.25" customHeight="1" x14ac:dyDescent="0.2">
      <c r="A56" s="379" t="s">
        <v>453</v>
      </c>
      <c r="B56" s="388">
        <v>0</v>
      </c>
      <c r="C56" s="394">
        <f>C35*$B56</f>
        <v>0</v>
      </c>
      <c r="D56" s="497">
        <f>D35*$B56</f>
        <v>0</v>
      </c>
    </row>
    <row r="57" spans="1:4" ht="14.25" customHeight="1" x14ac:dyDescent="0.2">
      <c r="A57" s="379" t="s">
        <v>454</v>
      </c>
      <c r="B57" s="388">
        <f>1/12*1/30*7</f>
        <v>1.9444444444444441E-2</v>
      </c>
      <c r="C57" s="389">
        <f>C19*$B57</f>
        <v>33.619599999999991</v>
      </c>
      <c r="D57" s="390">
        <f>D19*$B57</f>
        <v>27.506945454545448</v>
      </c>
    </row>
    <row r="58" spans="1:4" ht="14.25" customHeight="1" x14ac:dyDescent="0.2">
      <c r="A58" s="379" t="s">
        <v>455</v>
      </c>
      <c r="B58" s="388">
        <f>B36*B57</f>
        <v>7.1555555555555556E-3</v>
      </c>
      <c r="C58" s="389">
        <f>$B58*C19</f>
        <v>12.372012799999998</v>
      </c>
      <c r="D58" s="390">
        <f>$B58*D19</f>
        <v>10.122555927272726</v>
      </c>
    </row>
    <row r="59" spans="1:4" ht="14.25" customHeight="1" x14ac:dyDescent="0.2">
      <c r="A59" s="379" t="s">
        <v>456</v>
      </c>
      <c r="B59" s="388">
        <f>B35*40/100*90/100*(1+1/12+1/12+1/3*1/12)</f>
        <v>3.4399999999999993E-2</v>
      </c>
      <c r="C59" s="389">
        <f>C19*$B59</f>
        <v>59.477875199999978</v>
      </c>
      <c r="D59" s="390">
        <f>D19*$B59</f>
        <v>48.663716072727254</v>
      </c>
    </row>
    <row r="60" spans="1:4" ht="14.25" customHeight="1" x14ac:dyDescent="0.2">
      <c r="A60" s="369" t="s">
        <v>423</v>
      </c>
      <c r="B60" s="380">
        <f>SUM(B54:B59)</f>
        <v>6.5499999999999989E-2</v>
      </c>
      <c r="C60" s="395">
        <f>SUM(C54:C59)</f>
        <v>113.25002399999997</v>
      </c>
      <c r="D60" s="396">
        <f>SUM(D54:D59)</f>
        <v>92.659110545454524</v>
      </c>
    </row>
    <row r="61" spans="1:4" ht="14.25" customHeight="1" x14ac:dyDescent="0.2">
      <c r="A61" s="881"/>
      <c r="B61" s="881"/>
      <c r="C61" s="397"/>
      <c r="D61" s="398"/>
    </row>
    <row r="62" spans="1:4" ht="14.25" customHeight="1" x14ac:dyDescent="0.2">
      <c r="A62" s="919" t="s">
        <v>457</v>
      </c>
      <c r="B62" s="919"/>
      <c r="C62" s="919"/>
      <c r="D62" s="919"/>
    </row>
    <row r="63" spans="1:4" ht="14.25" customHeight="1" x14ac:dyDescent="0.2">
      <c r="A63" s="376" t="s">
        <v>45</v>
      </c>
      <c r="B63" s="377"/>
      <c r="C63" s="377"/>
      <c r="D63" s="378"/>
    </row>
    <row r="64" spans="1:4" ht="14.25" customHeight="1" x14ac:dyDescent="0.2">
      <c r="A64" s="379" t="s">
        <v>46</v>
      </c>
      <c r="B64" s="367">
        <f>1/12</f>
        <v>8.3333333333333329E-2</v>
      </c>
      <c r="C64" s="383">
        <f>$B64*(C$19+(C$49-C$38-C$39)+C$60)</f>
        <v>239.4472153333333</v>
      </c>
      <c r="D64" s="383">
        <f t="shared" ref="D64" si="2">$B64*(D$19+(D$49-D$38-D$39)+D$60)</f>
        <v>196.07938830303027</v>
      </c>
    </row>
    <row r="65" spans="1:4" ht="14.25" customHeight="1" x14ac:dyDescent="0.2">
      <c r="A65" s="379" t="s">
        <v>458</v>
      </c>
      <c r="B65" s="367">
        <f>MC!E52/30/12</f>
        <v>1.3538888888888885E-2</v>
      </c>
      <c r="C65" s="383">
        <f t="shared" ref="C65:D67" si="3">$B65*(C$19+(C$49-C$38-C$39)+C$60)</f>
        <v>38.90219091782221</v>
      </c>
      <c r="D65" s="383">
        <f t="shared" si="3"/>
        <v>31.856364619632313</v>
      </c>
    </row>
    <row r="66" spans="1:4" ht="14.25" customHeight="1" x14ac:dyDescent="0.2">
      <c r="A66" s="379" t="s">
        <v>459</v>
      </c>
      <c r="B66" s="399">
        <f>(5/30)/12*MC!F54*MC!C55</f>
        <v>1.0764583333333333E-4</v>
      </c>
      <c r="C66" s="383">
        <f t="shared" si="3"/>
        <v>0.30930594040683329</v>
      </c>
      <c r="D66" s="383">
        <f t="shared" si="3"/>
        <v>0.25328554984043938</v>
      </c>
    </row>
    <row r="67" spans="1:4" ht="14.25" customHeight="1" x14ac:dyDescent="0.2">
      <c r="A67" s="379" t="s">
        <v>460</v>
      </c>
      <c r="B67" s="399">
        <f>MC!C57/30/12</f>
        <v>2.6830555555555553E-3</v>
      </c>
      <c r="C67" s="383">
        <f t="shared" si="3"/>
        <v>7.7094021763488874</v>
      </c>
      <c r="D67" s="383">
        <f t="shared" si="3"/>
        <v>6.3131027053965649</v>
      </c>
    </row>
    <row r="68" spans="1:4" ht="14.25" customHeight="1" x14ac:dyDescent="0.2">
      <c r="A68" s="379" t="s">
        <v>461</v>
      </c>
      <c r="B68" s="367"/>
      <c r="C68" s="383"/>
      <c r="D68" s="383"/>
    </row>
    <row r="69" spans="1:4" ht="14.25" customHeight="1" x14ac:dyDescent="0.2">
      <c r="A69" s="400" t="s">
        <v>462</v>
      </c>
      <c r="B69" s="401">
        <f>SUM(B64:B68)</f>
        <v>9.9662923611111107E-2</v>
      </c>
      <c r="C69" s="402">
        <f>SUM(C64:C68)</f>
        <v>286.36811436791123</v>
      </c>
      <c r="D69" s="403">
        <f>SUM(D64:D68)</f>
        <v>234.50214117789957</v>
      </c>
    </row>
    <row r="70" spans="1:4" ht="14.25" customHeight="1" x14ac:dyDescent="0.2">
      <c r="A70" s="376" t="s">
        <v>463</v>
      </c>
      <c r="B70" s="377"/>
      <c r="C70" s="377"/>
      <c r="D70" s="378"/>
    </row>
    <row r="71" spans="1:4" ht="14.25" customHeight="1" x14ac:dyDescent="0.2">
      <c r="A71" s="379" t="s">
        <v>464</v>
      </c>
      <c r="B71" s="367"/>
      <c r="C71" s="383"/>
      <c r="D71" s="384"/>
    </row>
    <row r="72" spans="1:4" ht="14.25" customHeight="1" x14ac:dyDescent="0.2">
      <c r="A72" s="400" t="s">
        <v>462</v>
      </c>
      <c r="B72" s="401"/>
      <c r="C72" s="402">
        <f>C71</f>
        <v>0</v>
      </c>
      <c r="D72" s="403"/>
    </row>
    <row r="73" spans="1:4" ht="14.25" customHeight="1" x14ac:dyDescent="0.2">
      <c r="A73" s="376" t="s">
        <v>67</v>
      </c>
      <c r="B73" s="377"/>
      <c r="C73" s="377"/>
      <c r="D73" s="378"/>
    </row>
    <row r="74" spans="1:4" ht="14.25" customHeight="1" x14ac:dyDescent="0.2">
      <c r="A74" s="379" t="s">
        <v>68</v>
      </c>
      <c r="B74" s="367">
        <f>120/30*MC!C60*MC!C61</f>
        <v>6.18624E-3</v>
      </c>
      <c r="C74" s="383">
        <f>(((C19*2)+ (C19*1/3))+(C36)+(C44-C38-C39))*$B$74</f>
        <v>30.147728540774395</v>
      </c>
      <c r="D74" s="384">
        <f>(((D19*2)+ (D19*1/3))+(D36)+(D44-D38-D39))*$B$74</f>
        <v>24.678757693942689</v>
      </c>
    </row>
    <row r="75" spans="1:4" ht="14.25" customHeight="1" x14ac:dyDescent="0.2">
      <c r="A75" s="400" t="s">
        <v>423</v>
      </c>
      <c r="B75" s="401"/>
      <c r="C75" s="402"/>
      <c r="D75" s="403"/>
    </row>
    <row r="76" spans="1:4" ht="14.25" customHeight="1" x14ac:dyDescent="0.2">
      <c r="A76" s="359" t="s">
        <v>465</v>
      </c>
      <c r="B76" s="360"/>
      <c r="C76" s="360"/>
      <c r="D76" s="361"/>
    </row>
    <row r="77" spans="1:4" ht="14.25" customHeight="1" x14ac:dyDescent="0.2">
      <c r="A77" s="379" t="s">
        <v>45</v>
      </c>
      <c r="B77" s="388">
        <f>B69</f>
        <v>9.9662923611111107E-2</v>
      </c>
      <c r="C77" s="389">
        <f>C69</f>
        <v>286.36811436791123</v>
      </c>
      <c r="D77" s="390">
        <f>D69</f>
        <v>234.50214117789957</v>
      </c>
    </row>
    <row r="78" spans="1:4" ht="14.25" customHeight="1" x14ac:dyDescent="0.2">
      <c r="A78" s="379" t="s">
        <v>463</v>
      </c>
      <c r="B78" s="388">
        <f>B72</f>
        <v>0</v>
      </c>
      <c r="C78" s="389">
        <f>C72</f>
        <v>0</v>
      </c>
      <c r="D78" s="390">
        <f>D72</f>
        <v>0</v>
      </c>
    </row>
    <row r="79" spans="1:4" ht="14.25" customHeight="1" x14ac:dyDescent="0.2">
      <c r="A79" s="379" t="s">
        <v>67</v>
      </c>
      <c r="B79" s="388">
        <f>B74</f>
        <v>6.18624E-3</v>
      </c>
      <c r="C79" s="389">
        <f>C74</f>
        <v>30.147728540774395</v>
      </c>
      <c r="D79" s="390">
        <f>D74</f>
        <v>24.678757693942689</v>
      </c>
    </row>
    <row r="80" spans="1:4" ht="14.25" customHeight="1" x14ac:dyDescent="0.2">
      <c r="A80" s="369" t="s">
        <v>423</v>
      </c>
      <c r="B80" s="370"/>
      <c r="C80" s="371">
        <f>SUM(C77:C79)</f>
        <v>316.51584290868561</v>
      </c>
      <c r="D80" s="372">
        <f>SUM(D77:D79)</f>
        <v>259.18089887184226</v>
      </c>
    </row>
    <row r="81" spans="1:4" ht="14.25" customHeight="1" x14ac:dyDescent="0.2">
      <c r="A81" s="373"/>
      <c r="B81" s="374"/>
      <c r="C81" s="374"/>
      <c r="D81" s="375"/>
    </row>
    <row r="82" spans="1:4" ht="14.25" customHeight="1" x14ac:dyDescent="0.2">
      <c r="A82" s="404" t="s">
        <v>466</v>
      </c>
      <c r="B82" s="405"/>
      <c r="C82" s="405"/>
      <c r="D82" s="406"/>
    </row>
    <row r="83" spans="1:4" ht="14.25" customHeight="1" x14ac:dyDescent="0.2">
      <c r="A83" s="359" t="s">
        <v>467</v>
      </c>
      <c r="B83" s="360" t="s">
        <v>439</v>
      </c>
      <c r="C83" s="360" t="s">
        <v>416</v>
      </c>
      <c r="D83" s="361" t="s">
        <v>416</v>
      </c>
    </row>
    <row r="84" spans="1:4" ht="14.25" customHeight="1" x14ac:dyDescent="0.2">
      <c r="A84" s="379" t="s">
        <v>468</v>
      </c>
      <c r="B84" s="498">
        <f>Insumos!F110</f>
        <v>33.474166666666669</v>
      </c>
      <c r="C84" s="364">
        <f>Insumos!F110</f>
        <v>33.474166666666669</v>
      </c>
      <c r="D84" s="366">
        <f>Insumos!F110</f>
        <v>33.474166666666669</v>
      </c>
    </row>
    <row r="85" spans="1:4" ht="14.25" customHeight="1" x14ac:dyDescent="0.2">
      <c r="A85" s="408" t="s">
        <v>469</v>
      </c>
      <c r="B85" s="498">
        <f>Insumos!E69</f>
        <v>268.73333333333335</v>
      </c>
      <c r="C85" s="364">
        <f>B85</f>
        <v>268.73333333333335</v>
      </c>
      <c r="D85" s="366">
        <f>B85</f>
        <v>268.73333333333335</v>
      </c>
    </row>
    <row r="86" spans="1:4" ht="14.25" customHeight="1" x14ac:dyDescent="0.2">
      <c r="A86" s="408" t="s">
        <v>470</v>
      </c>
      <c r="B86" s="499">
        <v>0</v>
      </c>
      <c r="C86" s="364"/>
      <c r="D86" s="366"/>
    </row>
    <row r="87" spans="1:4" ht="14.25" customHeight="1" x14ac:dyDescent="0.2">
      <c r="A87" s="408" t="s">
        <v>471</v>
      </c>
      <c r="B87" s="500">
        <f>Insumos!G114</f>
        <v>213.35999999999999</v>
      </c>
      <c r="C87" s="364">
        <f>B87</f>
        <v>213.35999999999999</v>
      </c>
      <c r="D87" s="366">
        <f>Insumos!F114</f>
        <v>191.57999999999998</v>
      </c>
    </row>
    <row r="88" spans="1:4" ht="14.25" customHeight="1" x14ac:dyDescent="0.2">
      <c r="A88" s="408" t="s">
        <v>472</v>
      </c>
      <c r="B88" s="501">
        <v>0</v>
      </c>
      <c r="C88" s="364"/>
      <c r="D88" s="366"/>
    </row>
    <row r="89" spans="1:4" ht="14.25" customHeight="1" x14ac:dyDescent="0.2">
      <c r="A89" s="408" t="s">
        <v>542</v>
      </c>
      <c r="B89" s="498">
        <v>0</v>
      </c>
      <c r="C89" s="364"/>
      <c r="D89" s="366"/>
    </row>
    <row r="90" spans="1:4" ht="14.25" customHeight="1" x14ac:dyDescent="0.2">
      <c r="A90" s="408" t="s">
        <v>474</v>
      </c>
      <c r="B90" s="498">
        <v>0</v>
      </c>
      <c r="C90" s="364"/>
      <c r="D90" s="366"/>
    </row>
    <row r="91" spans="1:4" ht="14.25" customHeight="1" x14ac:dyDescent="0.2">
      <c r="A91" s="400" t="s">
        <v>423</v>
      </c>
      <c r="B91" s="410"/>
      <c r="C91" s="402">
        <f>SUM(C84:C90)</f>
        <v>515.5675</v>
      </c>
      <c r="D91" s="403">
        <f>SUM(D84:D90)</f>
        <v>493.78750000000002</v>
      </c>
    </row>
    <row r="92" spans="1:4" ht="14.25" customHeight="1" x14ac:dyDescent="0.2">
      <c r="A92" s="881"/>
      <c r="B92" s="881"/>
      <c r="C92" s="411"/>
      <c r="D92" s="412"/>
    </row>
    <row r="93" spans="1:4" ht="14.25" customHeight="1" x14ac:dyDescent="0.2">
      <c r="A93" s="404" t="s">
        <v>475</v>
      </c>
      <c r="B93" s="405"/>
      <c r="C93" s="405"/>
      <c r="D93" s="406"/>
    </row>
    <row r="94" spans="1:4" ht="14.25" customHeight="1" x14ac:dyDescent="0.2">
      <c r="A94" s="359" t="s">
        <v>476</v>
      </c>
      <c r="B94" s="360" t="s">
        <v>415</v>
      </c>
      <c r="C94" s="360" t="s">
        <v>416</v>
      </c>
      <c r="D94" s="361" t="s">
        <v>416</v>
      </c>
    </row>
    <row r="95" spans="1:4" ht="14.25" customHeight="1" x14ac:dyDescent="0.2">
      <c r="A95" s="362" t="s">
        <v>73</v>
      </c>
      <c r="B95" s="367">
        <f>MC!C64</f>
        <v>0.06</v>
      </c>
      <c r="C95" s="383">
        <f>($C$19+$C$49+$C$60+$C$80+$C$91)*$B$95</f>
        <v>253.0535956145211</v>
      </c>
      <c r="D95" s="384">
        <f>($D$19+$D$49+$D$60+$D$80+$D$91)*$B$95</f>
        <v>213.08526351049233</v>
      </c>
    </row>
    <row r="96" spans="1:4" ht="14.25" customHeight="1" x14ac:dyDescent="0.2">
      <c r="A96" s="362" t="s">
        <v>74</v>
      </c>
      <c r="B96" s="367">
        <v>6.7900000000000002E-2</v>
      </c>
      <c r="C96" s="383">
        <f>($C$19+$C$49+$C$60+$C$80+$C$91+C95)*B96</f>
        <v>303.55465817932571</v>
      </c>
      <c r="D96" s="384">
        <f>($D$19+$D$49+$D$60+$D$80+$D$91+$D$95)*$B$96</f>
        <v>255.6099792650696</v>
      </c>
    </row>
    <row r="97" spans="1:5" ht="14.25" customHeight="1" x14ac:dyDescent="0.2">
      <c r="A97" s="413" t="s">
        <v>477</v>
      </c>
      <c r="B97" s="414">
        <f>B98+B99</f>
        <v>0.1125</v>
      </c>
      <c r="C97" s="415">
        <f>((C19+C49+C60+C80+C91+C95+C96)/(1-($B$97)))*$B$97</f>
        <v>605.17624825806752</v>
      </c>
      <c r="D97" s="502">
        <f>((D19+D49+D60+D80+D91+D95+D96)/(1-($B$97)))*$B$97</f>
        <v>509.59220720498473</v>
      </c>
    </row>
    <row r="98" spans="1:5" ht="14.25" customHeight="1" x14ac:dyDescent="0.2">
      <c r="A98" s="362" t="s">
        <v>478</v>
      </c>
      <c r="B98" s="367">
        <f>0.0165+0.076</f>
        <v>9.2499999999999999E-2</v>
      </c>
      <c r="C98" s="416">
        <f>((C$19+C$49+C$60+C$80+C$91+C$95+C$96)/(1-($B$97)))*$B$98</f>
        <v>497.58935967885554</v>
      </c>
      <c r="D98" s="503">
        <f>((D$19+D$49+D$60+D$80+D$91+D$95+D$96)/(1-($B$97)))*$B$98</f>
        <v>418.99803703520968</v>
      </c>
      <c r="E98" s="783"/>
    </row>
    <row r="99" spans="1:5" ht="14.25" customHeight="1" x14ac:dyDescent="0.2">
      <c r="A99" s="362" t="s">
        <v>479</v>
      </c>
      <c r="B99" s="367">
        <v>0.02</v>
      </c>
      <c r="C99" s="417">
        <f>((C$19+C$49+C$60+C$80+C$91+C$95+C$96)/(1-($B$97)))*$B$99</f>
        <v>107.58688857921202</v>
      </c>
      <c r="D99" s="504">
        <f>((D$19+D$49+D$60+D$80+D$91+D$95+D$96)/(1-($B$97)))*$B$99</f>
        <v>90.594170169775069</v>
      </c>
    </row>
    <row r="100" spans="1:5" ht="14.25" customHeight="1" x14ac:dyDescent="0.2">
      <c r="A100" s="413" t="s">
        <v>480</v>
      </c>
      <c r="B100" s="414">
        <f>B101+B102</f>
        <v>0.1225</v>
      </c>
      <c r="C100" s="415">
        <f>((C19+C49+C60+C80+C91+C95+C96)/(1-($B$100)))*$B$100</f>
        <v>666.47931867357295</v>
      </c>
      <c r="D100" s="502">
        <f>((D19+D49+D60+D80+D91+D95+D96)/(1-($B$100)))*$B$100</f>
        <v>561.21281698833229</v>
      </c>
    </row>
    <row r="101" spans="1:5" ht="14.25" customHeight="1" x14ac:dyDescent="0.2">
      <c r="A101" s="362" t="s">
        <v>478</v>
      </c>
      <c r="B101" s="367">
        <f>0.0165+0.076</f>
        <v>9.2499999999999999E-2</v>
      </c>
      <c r="C101" s="416">
        <f>((C19+C49+C60+C80+C91+C95+C96)/(1-($B$100)))*$B$101</f>
        <v>503.25989369228978</v>
      </c>
      <c r="D101" s="503">
        <f>((D19+D49+D60+D80+D91+D95+D96)/(1-($B$100)))*$B$101</f>
        <v>423.77294344016929</v>
      </c>
    </row>
    <row r="102" spans="1:5" ht="14.25" customHeight="1" x14ac:dyDescent="0.2">
      <c r="A102" s="362" t="s">
        <v>479</v>
      </c>
      <c r="B102" s="367">
        <v>0.03</v>
      </c>
      <c r="C102" s="417">
        <f>((C19+C49+C60+C80+C91+C95+C96)/(1-($B$100)))*$B$102</f>
        <v>163.21942498128317</v>
      </c>
      <c r="D102" s="504">
        <f>((D19+D49+D60+D80+D91+D95+D96)/(1-($B$100)))*$B$102</f>
        <v>137.43987354816301</v>
      </c>
      <c r="E102" s="418"/>
    </row>
    <row r="103" spans="1:5" ht="14.25" customHeight="1" x14ac:dyDescent="0.2">
      <c r="A103" s="413" t="s">
        <v>481</v>
      </c>
      <c r="B103" s="414">
        <f>B104+B105</f>
        <v>0.13250000000000001</v>
      </c>
      <c r="C103" s="415">
        <f>((C19+C49+C60+C80+C91+C95+C96)/(1-($B$103)))*$B$103</f>
        <v>729.19571636090564</v>
      </c>
      <c r="D103" s="502">
        <f>((D19+D49+D60+D80+D91+D95+D96)/(1-($B$103)))*$B$103</f>
        <v>614.023527285417</v>
      </c>
    </row>
    <row r="104" spans="1:5" ht="14.25" customHeight="1" x14ac:dyDescent="0.2">
      <c r="A104" s="362" t="s">
        <v>478</v>
      </c>
      <c r="B104" s="367">
        <f>0.0165+0.076</f>
        <v>9.2499999999999999E-2</v>
      </c>
      <c r="C104" s="416">
        <f>((C19+C49+C60+C80+C91+C95+C96)/(1-($B$103)))*$B$104</f>
        <v>509.06116047836804</v>
      </c>
      <c r="D104" s="503">
        <f>((D19+D49+D60+D80+D91+D95+D96)/(1-($B$103)))*$B$104</f>
        <v>428.65793414264959</v>
      </c>
    </row>
    <row r="105" spans="1:5" ht="14.25" customHeight="1" x14ac:dyDescent="0.2">
      <c r="A105" s="362" t="s">
        <v>479</v>
      </c>
      <c r="B105" s="367">
        <v>0.04</v>
      </c>
      <c r="C105" s="417">
        <f>((C19+C49+C60+C80+C91+C95+C96)/(1-($B$103)))*$B$105</f>
        <v>220.13455588253754</v>
      </c>
      <c r="D105" s="504">
        <f>((D19+D49+D60+D80+D91+D95+D96)/(1-($B$103)))*$B$105</f>
        <v>185.36559314276741</v>
      </c>
    </row>
    <row r="106" spans="1:5" ht="14.25" customHeight="1" x14ac:dyDescent="0.2">
      <c r="A106" s="413" t="s">
        <v>482</v>
      </c>
      <c r="B106" s="414">
        <f>B107+B108</f>
        <v>0.14250000000000002</v>
      </c>
      <c r="C106" s="415">
        <f>((C19+C49+C60+C80+C91+C95+C96)/(1-($B$106)))*$B$106</f>
        <v>793.37488717214114</v>
      </c>
      <c r="D106" s="502">
        <f>((D19+D49+D60+D80+D91+D95+D96)/(1-($B$106)))*$B$106</f>
        <v>668.06597426581584</v>
      </c>
    </row>
    <row r="107" spans="1:5" ht="14.25" customHeight="1" x14ac:dyDescent="0.2">
      <c r="A107" s="362" t="s">
        <v>478</v>
      </c>
      <c r="B107" s="367">
        <f>0.0165+0.076</f>
        <v>9.2499999999999999E-2</v>
      </c>
      <c r="C107" s="416">
        <f>((C19+C49+C60+C80+C91+C95+C96)/(1-($B$106)))*$B$107</f>
        <v>514.99773377840734</v>
      </c>
      <c r="D107" s="503">
        <f>((D19+D49+D60+D80+D91+D95+D96)/(1-($B$106)))*$B$107</f>
        <v>433.65686048833652</v>
      </c>
    </row>
    <row r="108" spans="1:5" ht="14.25" customHeight="1" x14ac:dyDescent="0.2">
      <c r="A108" s="362" t="s">
        <v>479</v>
      </c>
      <c r="B108" s="419">
        <v>0.05</v>
      </c>
      <c r="C108" s="417">
        <f>((C19+C49+C60+C80+C91+C95+C96)/(1-($B$106)))*$B$108</f>
        <v>278.37715339373375</v>
      </c>
      <c r="D108" s="504">
        <f>((D19+D49+D60+D80+D91+D95+D96)/(1-($B$106)))*$B$108</f>
        <v>234.40911377747921</v>
      </c>
    </row>
    <row r="109" spans="1:5" ht="14.25" customHeight="1" x14ac:dyDescent="0.2">
      <c r="A109" s="920" t="s">
        <v>483</v>
      </c>
      <c r="B109" s="420">
        <v>0.02</v>
      </c>
      <c r="C109" s="421">
        <f>C95+C96+C97</f>
        <v>1161.7845020519144</v>
      </c>
      <c r="D109" s="505">
        <f>D95+D96+D97</f>
        <v>978.28744998054663</v>
      </c>
    </row>
    <row r="110" spans="1:5" ht="14.25" customHeight="1" x14ac:dyDescent="0.2">
      <c r="A110" s="920"/>
      <c r="B110" s="422">
        <v>0.03</v>
      </c>
      <c r="C110" s="423">
        <f>C95+C96+C100</f>
        <v>1223.0875724674197</v>
      </c>
      <c r="D110" s="506">
        <f>D95+D96+D100</f>
        <v>1029.9080597638942</v>
      </c>
      <c r="E110" s="418"/>
    </row>
    <row r="111" spans="1:5" ht="14.25" customHeight="1" x14ac:dyDescent="0.2">
      <c r="A111" s="920"/>
      <c r="B111" s="422">
        <v>0.04</v>
      </c>
      <c r="C111" s="423">
        <f>C95+C96+C103</f>
        <v>1285.8039701547525</v>
      </c>
      <c r="D111" s="506">
        <f>D95+D96+D103</f>
        <v>1082.7187700609788</v>
      </c>
    </row>
    <row r="112" spans="1:5" ht="14.25" customHeight="1" x14ac:dyDescent="0.2">
      <c r="A112" s="920"/>
      <c r="B112" s="424">
        <v>0.05</v>
      </c>
      <c r="C112" s="425">
        <f>C95+C96+C106</f>
        <v>1349.983140965988</v>
      </c>
      <c r="D112" s="507">
        <f>D95+D96+D106</f>
        <v>1136.7612170413777</v>
      </c>
    </row>
    <row r="113" spans="1:4" ht="14.25" customHeight="1" x14ac:dyDescent="0.2">
      <c r="A113" s="362" t="s">
        <v>484</v>
      </c>
      <c r="B113" s="426"/>
      <c r="C113" s="427"/>
      <c r="D113" s="428"/>
    </row>
    <row r="114" spans="1:4" ht="14.25" customHeight="1" x14ac:dyDescent="0.2">
      <c r="A114" s="429"/>
      <c r="B114" s="430"/>
      <c r="C114" s="431"/>
      <c r="D114" s="432"/>
    </row>
    <row r="115" spans="1:4" ht="7.5" customHeight="1" x14ac:dyDescent="0.2">
      <c r="A115" s="921"/>
      <c r="B115" s="921"/>
      <c r="C115" s="921"/>
      <c r="D115" s="921"/>
    </row>
    <row r="116" spans="1:4" ht="7.5" customHeight="1" x14ac:dyDescent="0.2">
      <c r="A116" s="922"/>
      <c r="B116" s="922"/>
      <c r="C116" s="922"/>
      <c r="D116" s="922"/>
    </row>
    <row r="117" spans="1:4" ht="54.75" customHeight="1" x14ac:dyDescent="0.2">
      <c r="A117" s="877" t="s">
        <v>485</v>
      </c>
      <c r="B117" s="877"/>
      <c r="C117" s="433" t="str">
        <f>C10</f>
        <v>Servente 44h COVID</v>
      </c>
      <c r="D117" s="434" t="str">
        <f>D10</f>
        <v>Servente 30h COVID</v>
      </c>
    </row>
    <row r="118" spans="1:4" ht="15.75" customHeight="1" x14ac:dyDescent="0.2">
      <c r="A118" s="900" t="s">
        <v>486</v>
      </c>
      <c r="B118" s="900"/>
      <c r="C118" s="435" t="s">
        <v>416</v>
      </c>
      <c r="D118" s="436" t="s">
        <v>416</v>
      </c>
    </row>
    <row r="119" spans="1:4" ht="14.25" customHeight="1" x14ac:dyDescent="0.2">
      <c r="A119" s="902" t="s">
        <v>487</v>
      </c>
      <c r="B119" s="902"/>
      <c r="C119" s="437">
        <f>C19</f>
        <v>1729.0079999999998</v>
      </c>
      <c r="D119" s="438">
        <f>D19</f>
        <v>1414.6429090909089</v>
      </c>
    </row>
    <row r="120" spans="1:4" ht="14.25" customHeight="1" x14ac:dyDescent="0.2">
      <c r="A120" s="904" t="s">
        <v>488</v>
      </c>
      <c r="B120" s="904"/>
      <c r="C120" s="439">
        <f>C49</f>
        <v>1543.21856</v>
      </c>
      <c r="D120" s="440">
        <f>D49</f>
        <v>1291.1506400000001</v>
      </c>
    </row>
    <row r="121" spans="1:4" ht="14.25" customHeight="1" x14ac:dyDescent="0.2">
      <c r="A121" s="904" t="s">
        <v>489</v>
      </c>
      <c r="B121" s="904"/>
      <c r="C121" s="439">
        <f>C60</f>
        <v>113.25002399999997</v>
      </c>
      <c r="D121" s="440">
        <f>D60</f>
        <v>92.659110545454524</v>
      </c>
    </row>
    <row r="122" spans="1:4" ht="14.25" customHeight="1" x14ac:dyDescent="0.2">
      <c r="A122" s="904" t="s">
        <v>490</v>
      </c>
      <c r="B122" s="904"/>
      <c r="C122" s="439">
        <f>C80</f>
        <v>316.51584290868561</v>
      </c>
      <c r="D122" s="440">
        <f>D80</f>
        <v>259.18089887184226</v>
      </c>
    </row>
    <row r="123" spans="1:4" ht="15.75" customHeight="1" x14ac:dyDescent="0.2">
      <c r="A123" s="904" t="s">
        <v>491</v>
      </c>
      <c r="B123" s="904"/>
      <c r="C123" s="439">
        <f>C91</f>
        <v>515.5675</v>
      </c>
      <c r="D123" s="440">
        <f>D91</f>
        <v>493.78750000000002</v>
      </c>
    </row>
    <row r="124" spans="1:4" ht="15.75" customHeight="1" x14ac:dyDescent="0.2">
      <c r="A124" s="909" t="s">
        <v>492</v>
      </c>
      <c r="B124" s="909"/>
      <c r="C124" s="441">
        <f>SUM(C119:C123)</f>
        <v>4217.5599269086852</v>
      </c>
      <c r="D124" s="442">
        <f>SUM(D119:D123)</f>
        <v>3551.4210585082055</v>
      </c>
    </row>
    <row r="125" spans="1:4" ht="15.75" customHeight="1" x14ac:dyDescent="0.2">
      <c r="A125" s="906" t="s">
        <v>493</v>
      </c>
      <c r="B125" s="906"/>
      <c r="C125" s="443">
        <f t="shared" ref="C125:D128" si="4">C109</f>
        <v>1161.7845020519144</v>
      </c>
      <c r="D125" s="444">
        <f t="shared" si="4"/>
        <v>978.28744998054663</v>
      </c>
    </row>
    <row r="126" spans="1:4" ht="15.75" customHeight="1" x14ac:dyDescent="0.2">
      <c r="A126" s="904" t="s">
        <v>494</v>
      </c>
      <c r="B126" s="904"/>
      <c r="C126" s="445">
        <f t="shared" si="4"/>
        <v>1223.0875724674197</v>
      </c>
      <c r="D126" s="446">
        <f t="shared" si="4"/>
        <v>1029.9080597638942</v>
      </c>
    </row>
    <row r="127" spans="1:4" ht="15.75" customHeight="1" x14ac:dyDescent="0.2">
      <c r="A127" s="904" t="s">
        <v>495</v>
      </c>
      <c r="B127" s="904"/>
      <c r="C127" s="445">
        <f t="shared" si="4"/>
        <v>1285.8039701547525</v>
      </c>
      <c r="D127" s="446">
        <f t="shared" si="4"/>
        <v>1082.7187700609788</v>
      </c>
    </row>
    <row r="128" spans="1:4" ht="15.75" customHeight="1" x14ac:dyDescent="0.2">
      <c r="A128" s="906" t="s">
        <v>496</v>
      </c>
      <c r="B128" s="906"/>
      <c r="C128" s="445">
        <f t="shared" si="4"/>
        <v>1349.983140965988</v>
      </c>
      <c r="D128" s="446">
        <f t="shared" si="4"/>
        <v>1136.7612170413777</v>
      </c>
    </row>
    <row r="129" spans="1:4" ht="15.75" customHeight="1" x14ac:dyDescent="0.2">
      <c r="A129" s="447" t="s">
        <v>497</v>
      </c>
      <c r="B129" s="448"/>
      <c r="C129" s="449">
        <f>C124+C125</f>
        <v>5379.3444289605995</v>
      </c>
      <c r="D129" s="450">
        <f>D124+D125</f>
        <v>4529.7085084887522</v>
      </c>
    </row>
    <row r="130" spans="1:4" ht="15.75" customHeight="1" x14ac:dyDescent="0.2">
      <c r="A130" s="451" t="s">
        <v>498</v>
      </c>
      <c r="B130" s="452"/>
      <c r="C130" s="453">
        <f>C124+C126</f>
        <v>5440.6474993761049</v>
      </c>
      <c r="D130" s="454">
        <f>D124+D126</f>
        <v>4581.3291182720995</v>
      </c>
    </row>
    <row r="131" spans="1:4" ht="15.75" customHeight="1" x14ac:dyDescent="0.2">
      <c r="A131" s="451" t="s">
        <v>499</v>
      </c>
      <c r="B131" s="452"/>
      <c r="C131" s="453">
        <f>C124+C127</f>
        <v>5503.3638970634374</v>
      </c>
      <c r="D131" s="454">
        <f>D124+D127</f>
        <v>4634.1398285691848</v>
      </c>
    </row>
    <row r="132" spans="1:4" ht="15.75" customHeight="1" x14ac:dyDescent="0.2">
      <c r="A132" s="451" t="s">
        <v>500</v>
      </c>
      <c r="B132" s="452"/>
      <c r="C132" s="453">
        <f>C124+C128</f>
        <v>5567.5430678746734</v>
      </c>
      <c r="D132" s="454">
        <f>D124+D128</f>
        <v>4688.1822755495832</v>
      </c>
    </row>
    <row r="133" spans="1:4" ht="15.75" customHeight="1" x14ac:dyDescent="0.2">
      <c r="A133" s="455" t="s">
        <v>501</v>
      </c>
      <c r="B133" s="456"/>
      <c r="C133" s="457">
        <f>C129/220</f>
        <v>24.451565586184543</v>
      </c>
      <c r="D133" s="508"/>
    </row>
    <row r="134" spans="1:4" ht="15.75" customHeight="1" x14ac:dyDescent="0.2">
      <c r="A134" s="458" t="s">
        <v>502</v>
      </c>
      <c r="B134" s="459"/>
      <c r="C134" s="460">
        <f>C130/220</f>
        <v>24.730215906255022</v>
      </c>
      <c r="D134" s="509"/>
    </row>
    <row r="135" spans="1:4" ht="15.75" customHeight="1" x14ac:dyDescent="0.2">
      <c r="A135" s="458" t="s">
        <v>503</v>
      </c>
      <c r="B135" s="459"/>
      <c r="C135" s="460">
        <f>C131/220</f>
        <v>25.015290441197443</v>
      </c>
      <c r="D135" s="509"/>
    </row>
    <row r="136" spans="1:4" ht="15.75" customHeight="1" x14ac:dyDescent="0.2">
      <c r="A136" s="461" t="s">
        <v>504</v>
      </c>
      <c r="B136" s="462"/>
      <c r="C136" s="463">
        <f>C132/220</f>
        <v>25.307013944884879</v>
      </c>
      <c r="D136" s="510"/>
    </row>
    <row r="137" spans="1:4" x14ac:dyDescent="0.2">
      <c r="A137" s="464"/>
    </row>
  </sheetData>
  <mergeCells count="26">
    <mergeCell ref="A127:B127"/>
    <mergeCell ref="A128:B128"/>
    <mergeCell ref="A123:B123"/>
    <mergeCell ref="A124:B124"/>
    <mergeCell ref="A125:B125"/>
    <mergeCell ref="A126:B126"/>
    <mergeCell ref="A118:B118"/>
    <mergeCell ref="A119:B119"/>
    <mergeCell ref="A120:B120"/>
    <mergeCell ref="A121:B121"/>
    <mergeCell ref="A122:B122"/>
    <mergeCell ref="A92:B92"/>
    <mergeCell ref="A109:A112"/>
    <mergeCell ref="A115:D115"/>
    <mergeCell ref="A116:D116"/>
    <mergeCell ref="A117:B117"/>
    <mergeCell ref="A21:D21"/>
    <mergeCell ref="A50:B50"/>
    <mergeCell ref="A51:D51"/>
    <mergeCell ref="A61:B61"/>
    <mergeCell ref="A62:D62"/>
    <mergeCell ref="A1:D1"/>
    <mergeCell ref="A2:D2"/>
    <mergeCell ref="A3:D3"/>
    <mergeCell ref="A9:D9"/>
    <mergeCell ref="A20:B2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5A11"/>
  </sheetPr>
  <dimension ref="A1:AMK136"/>
  <sheetViews>
    <sheetView showGridLines="0" topLeftCell="A97" zoomScale="80" zoomScaleNormal="80" workbookViewId="0">
      <pane xSplit="2" topLeftCell="C1" activePane="topRight" state="frozen"/>
      <selection pane="topRight" activeCell="G121" sqref="G121"/>
    </sheetView>
  </sheetViews>
  <sheetFormatPr defaultRowHeight="14.25" x14ac:dyDescent="0.2"/>
  <cols>
    <col min="1" max="1" width="51.125" style="68" customWidth="1"/>
    <col min="2" max="2" width="14" style="68" customWidth="1"/>
    <col min="3" max="3" width="13.625" style="68" customWidth="1"/>
    <col min="4" max="4" width="11.375" style="68" customWidth="1"/>
    <col min="5" max="5" width="16" style="68" customWidth="1"/>
    <col min="6" max="6" width="17.375" style="68" customWidth="1"/>
    <col min="7" max="7" width="16.5" style="68" customWidth="1"/>
    <col min="8" max="9" width="15.25" style="68" customWidth="1"/>
    <col min="10" max="10" width="8.5" style="68" customWidth="1"/>
    <col min="11" max="11" width="43.625" style="68" customWidth="1"/>
    <col min="12" max="1025" width="9" style="68" customWidth="1"/>
  </cols>
  <sheetData>
    <row r="1" spans="1:1025" s="69" customFormat="1" ht="20.25" customHeight="1" x14ac:dyDescent="0.2">
      <c r="A1" s="805" t="s">
        <v>116</v>
      </c>
      <c r="B1" s="806"/>
      <c r="C1" s="806"/>
      <c r="D1" s="806"/>
      <c r="E1" s="806"/>
      <c r="F1" s="807"/>
      <c r="G1" s="591" t="s">
        <v>117</v>
      </c>
      <c r="H1" s="591"/>
      <c r="I1" s="591"/>
      <c r="J1" s="591"/>
      <c r="K1" s="591"/>
    </row>
    <row r="2" spans="1:1025" ht="52.5" customHeight="1" x14ac:dyDescent="0.2">
      <c r="A2" s="70" t="s">
        <v>118</v>
      </c>
      <c r="B2" s="71" t="s">
        <v>119</v>
      </c>
      <c r="C2" s="71" t="s">
        <v>120</v>
      </c>
      <c r="D2" s="72" t="s">
        <v>121</v>
      </c>
      <c r="E2" s="597" t="s">
        <v>122</v>
      </c>
      <c r="F2" s="593" t="s">
        <v>123</v>
      </c>
      <c r="G2" s="590" t="s">
        <v>124</v>
      </c>
      <c r="H2" s="590"/>
      <c r="I2" s="590"/>
      <c r="J2" s="590"/>
      <c r="K2" s="590"/>
      <c r="AMJ2"/>
      <c r="AMK2"/>
    </row>
    <row r="3" spans="1:1025" ht="15" customHeight="1" x14ac:dyDescent="0.2">
      <c r="A3" s="74" t="s">
        <v>125</v>
      </c>
      <c r="B3" s="75" t="s">
        <v>126</v>
      </c>
      <c r="C3" s="76">
        <v>0.31</v>
      </c>
      <c r="D3" s="582">
        <v>8.33</v>
      </c>
      <c r="E3" s="598">
        <f>C3*D3</f>
        <v>2.5823</v>
      </c>
      <c r="F3" s="594" t="s">
        <v>127</v>
      </c>
      <c r="G3" s="590" t="s">
        <v>128</v>
      </c>
      <c r="H3" s="590"/>
      <c r="I3" s="590"/>
      <c r="J3" s="590"/>
      <c r="K3" s="590"/>
      <c r="AMJ3"/>
      <c r="AMK3"/>
    </row>
    <row r="4" spans="1:1025" ht="15" customHeight="1" x14ac:dyDescent="0.2">
      <c r="A4" s="74" t="s">
        <v>129</v>
      </c>
      <c r="B4" s="75" t="s">
        <v>126</v>
      </c>
      <c r="C4" s="76">
        <v>4.74</v>
      </c>
      <c r="D4" s="582">
        <v>2.09</v>
      </c>
      <c r="E4" s="598">
        <f t="shared" ref="E4:E36" si="0">C4*D4</f>
        <v>9.9065999999999992</v>
      </c>
      <c r="F4" s="595" t="s">
        <v>130</v>
      </c>
      <c r="G4" s="590" t="s">
        <v>131</v>
      </c>
      <c r="H4" s="590"/>
      <c r="I4" s="590"/>
      <c r="J4" s="590"/>
      <c r="K4" s="590"/>
      <c r="AMJ4"/>
      <c r="AMK4"/>
    </row>
    <row r="5" spans="1:1025" ht="15" customHeight="1" x14ac:dyDescent="0.2">
      <c r="A5" s="74" t="s">
        <v>132</v>
      </c>
      <c r="B5" s="75" t="s">
        <v>133</v>
      </c>
      <c r="C5" s="76">
        <v>2.02</v>
      </c>
      <c r="D5" s="582">
        <v>7.34</v>
      </c>
      <c r="E5" s="598">
        <f t="shared" si="0"/>
        <v>14.8268</v>
      </c>
      <c r="F5" s="595" t="s">
        <v>134</v>
      </c>
      <c r="G5" s="590" t="s">
        <v>135</v>
      </c>
      <c r="H5" s="590"/>
      <c r="I5" s="590"/>
      <c r="J5" s="590"/>
      <c r="K5" s="590"/>
      <c r="AMJ5"/>
      <c r="AMK5"/>
    </row>
    <row r="6" spans="1:1025" ht="15" customHeight="1" x14ac:dyDescent="0.2">
      <c r="A6" s="74" t="s">
        <v>136</v>
      </c>
      <c r="B6" s="75" t="s">
        <v>126</v>
      </c>
      <c r="C6" s="76">
        <v>2.52</v>
      </c>
      <c r="D6" s="582">
        <v>6.5</v>
      </c>
      <c r="E6" s="598">
        <f t="shared" si="0"/>
        <v>16.38</v>
      </c>
      <c r="F6" s="595" t="s">
        <v>134</v>
      </c>
      <c r="G6" s="592" t="s">
        <v>137</v>
      </c>
      <c r="H6" s="592"/>
      <c r="I6" s="592"/>
      <c r="J6" s="592"/>
      <c r="K6" s="592"/>
      <c r="AMJ6"/>
      <c r="AMK6"/>
    </row>
    <row r="7" spans="1:1025" ht="15" customHeight="1" x14ac:dyDescent="0.2">
      <c r="A7" s="74" t="s">
        <v>138</v>
      </c>
      <c r="B7" s="75" t="s">
        <v>139</v>
      </c>
      <c r="C7" s="76">
        <v>0.3</v>
      </c>
      <c r="D7" s="582">
        <v>44.85</v>
      </c>
      <c r="E7" s="598">
        <f t="shared" si="0"/>
        <v>13.455</v>
      </c>
      <c r="F7" s="595" t="s">
        <v>140</v>
      </c>
      <c r="AMJ7"/>
      <c r="AMK7"/>
    </row>
    <row r="8" spans="1:1025" ht="15" customHeight="1" x14ac:dyDescent="0.2">
      <c r="A8" s="74" t="s">
        <v>141</v>
      </c>
      <c r="B8" s="75" t="s">
        <v>139</v>
      </c>
      <c r="C8" s="76">
        <v>1.35</v>
      </c>
      <c r="D8" s="582">
        <v>21.5</v>
      </c>
      <c r="E8" s="598">
        <f t="shared" si="0"/>
        <v>29.025000000000002</v>
      </c>
      <c r="F8" s="595" t="s">
        <v>142</v>
      </c>
      <c r="AMJ8"/>
      <c r="AMK8"/>
    </row>
    <row r="9" spans="1:1025" ht="15" customHeight="1" x14ac:dyDescent="0.2">
      <c r="A9" s="74" t="s">
        <v>143</v>
      </c>
      <c r="B9" s="75" t="s">
        <v>139</v>
      </c>
      <c r="C9" s="76">
        <v>0.2</v>
      </c>
      <c r="D9" s="582">
        <v>39.99</v>
      </c>
      <c r="E9" s="598">
        <f t="shared" si="0"/>
        <v>7.9980000000000011</v>
      </c>
      <c r="F9" s="595" t="s">
        <v>144</v>
      </c>
      <c r="AMJ9"/>
      <c r="AMK9"/>
    </row>
    <row r="10" spans="1:1025" ht="15" customHeight="1" x14ac:dyDescent="0.2">
      <c r="A10" s="74" t="s">
        <v>145</v>
      </c>
      <c r="B10" s="75" t="s">
        <v>139</v>
      </c>
      <c r="C10" s="76">
        <v>0.5</v>
      </c>
      <c r="D10" s="582">
        <v>17.8</v>
      </c>
      <c r="E10" s="598">
        <f t="shared" si="0"/>
        <v>8.9</v>
      </c>
      <c r="F10" s="595" t="s">
        <v>146</v>
      </c>
      <c r="AMJ10"/>
      <c r="AMK10"/>
    </row>
    <row r="11" spans="1:1025" ht="15" customHeight="1" x14ac:dyDescent="0.2">
      <c r="A11" s="74" t="s">
        <v>147</v>
      </c>
      <c r="B11" s="75" t="s">
        <v>133</v>
      </c>
      <c r="C11" s="76">
        <v>1.43</v>
      </c>
      <c r="D11" s="582">
        <v>1.78</v>
      </c>
      <c r="E11" s="598">
        <f t="shared" si="0"/>
        <v>2.5453999999999999</v>
      </c>
      <c r="F11" s="595" t="s">
        <v>148</v>
      </c>
      <c r="AMJ11"/>
      <c r="AMK11"/>
    </row>
    <row r="12" spans="1:1025" ht="15" customHeight="1" x14ac:dyDescent="0.2">
      <c r="A12" s="74" t="s">
        <v>149</v>
      </c>
      <c r="B12" s="75" t="s">
        <v>150</v>
      </c>
      <c r="C12" s="76">
        <v>1.0900000000000001</v>
      </c>
      <c r="D12" s="582">
        <v>7.47</v>
      </c>
      <c r="E12" s="598">
        <f t="shared" si="0"/>
        <v>8.1423000000000005</v>
      </c>
      <c r="F12" s="595" t="s">
        <v>151</v>
      </c>
      <c r="AMJ12"/>
      <c r="AMK12"/>
    </row>
    <row r="13" spans="1:1025" ht="15" customHeight="1" x14ac:dyDescent="0.2">
      <c r="A13" s="74" t="s">
        <v>152</v>
      </c>
      <c r="B13" s="75" t="s">
        <v>150</v>
      </c>
      <c r="C13" s="76">
        <v>1.27</v>
      </c>
      <c r="D13" s="582">
        <v>1.9</v>
      </c>
      <c r="E13" s="598">
        <f t="shared" si="0"/>
        <v>2.4129999999999998</v>
      </c>
      <c r="F13" s="595" t="s">
        <v>153</v>
      </c>
      <c r="AMJ13"/>
      <c r="AMK13"/>
    </row>
    <row r="14" spans="1:1025" ht="15" customHeight="1" x14ac:dyDescent="0.2">
      <c r="A14" s="74" t="s">
        <v>154</v>
      </c>
      <c r="B14" s="75" t="s">
        <v>150</v>
      </c>
      <c r="C14" s="76">
        <v>2.2200000000000002</v>
      </c>
      <c r="D14" s="582">
        <v>0.75</v>
      </c>
      <c r="E14" s="598">
        <f t="shared" si="0"/>
        <v>1.665</v>
      </c>
      <c r="F14" s="595" t="s">
        <v>142</v>
      </c>
      <c r="AMJ14"/>
      <c r="AMK14"/>
    </row>
    <row r="15" spans="1:1025" ht="15" customHeight="1" x14ac:dyDescent="0.2">
      <c r="A15" s="74" t="s">
        <v>155</v>
      </c>
      <c r="B15" s="75" t="s">
        <v>150</v>
      </c>
      <c r="C15" s="76">
        <v>2.41</v>
      </c>
      <c r="D15" s="582">
        <v>2.2000000000000002</v>
      </c>
      <c r="E15" s="598">
        <f t="shared" si="0"/>
        <v>5.3020000000000005</v>
      </c>
      <c r="F15" s="595" t="s">
        <v>156</v>
      </c>
      <c r="AMJ15"/>
      <c r="AMK15"/>
    </row>
    <row r="16" spans="1:1025" ht="15" customHeight="1" x14ac:dyDescent="0.2">
      <c r="A16" s="74" t="s">
        <v>157</v>
      </c>
      <c r="B16" s="75" t="s">
        <v>150</v>
      </c>
      <c r="C16" s="76">
        <v>0.25</v>
      </c>
      <c r="D16" s="582">
        <v>9.42</v>
      </c>
      <c r="E16" s="598">
        <f t="shared" si="0"/>
        <v>2.355</v>
      </c>
      <c r="F16" s="595" t="s">
        <v>158</v>
      </c>
      <c r="AMJ16"/>
      <c r="AMK16"/>
    </row>
    <row r="17" spans="1:1025" ht="15" customHeight="1" x14ac:dyDescent="0.2">
      <c r="A17" s="74" t="s">
        <v>159</v>
      </c>
      <c r="B17" s="75" t="s">
        <v>160</v>
      </c>
      <c r="C17" s="76">
        <v>0.65</v>
      </c>
      <c r="D17" s="582">
        <v>1.94</v>
      </c>
      <c r="E17" s="598">
        <f t="shared" si="0"/>
        <v>1.2609999999999999</v>
      </c>
      <c r="F17" s="595" t="s">
        <v>148</v>
      </c>
      <c r="AMJ17"/>
      <c r="AMK17"/>
    </row>
    <row r="18" spans="1:1025" ht="15" customHeight="1" x14ac:dyDescent="0.2">
      <c r="A18" s="74" t="s">
        <v>161</v>
      </c>
      <c r="B18" s="75" t="s">
        <v>133</v>
      </c>
      <c r="C18" s="76">
        <v>0.22</v>
      </c>
      <c r="D18" s="582">
        <v>2.14</v>
      </c>
      <c r="E18" s="598">
        <f t="shared" si="0"/>
        <v>0.47080000000000005</v>
      </c>
      <c r="F18" s="595" t="s">
        <v>162</v>
      </c>
      <c r="AMJ18"/>
      <c r="AMK18"/>
    </row>
    <row r="19" spans="1:1025" ht="15" customHeight="1" x14ac:dyDescent="0.2">
      <c r="A19" s="74" t="s">
        <v>163</v>
      </c>
      <c r="B19" s="75" t="s">
        <v>164</v>
      </c>
      <c r="C19" s="76">
        <v>1.61</v>
      </c>
      <c r="D19" s="582">
        <v>3.22</v>
      </c>
      <c r="E19" s="598">
        <f t="shared" si="0"/>
        <v>5.1842000000000006</v>
      </c>
      <c r="F19" s="595" t="s">
        <v>165</v>
      </c>
      <c r="AMJ19"/>
      <c r="AMK19"/>
    </row>
    <row r="20" spans="1:1025" ht="15" customHeight="1" x14ac:dyDescent="0.2">
      <c r="A20" s="74" t="s">
        <v>166</v>
      </c>
      <c r="B20" s="75" t="s">
        <v>133</v>
      </c>
      <c r="C20" s="76">
        <v>2.2000000000000002</v>
      </c>
      <c r="D20" s="582">
        <v>3.7</v>
      </c>
      <c r="E20" s="598">
        <f t="shared" si="0"/>
        <v>8.14</v>
      </c>
      <c r="F20" s="595" t="s">
        <v>146</v>
      </c>
      <c r="AMJ20"/>
      <c r="AMK20"/>
    </row>
    <row r="21" spans="1:1025" ht="15" customHeight="1" x14ac:dyDescent="0.2">
      <c r="A21" s="74" t="s">
        <v>167</v>
      </c>
      <c r="B21" s="75" t="s">
        <v>168</v>
      </c>
      <c r="C21" s="76">
        <v>0.3</v>
      </c>
      <c r="D21" s="582">
        <v>2.98</v>
      </c>
      <c r="E21" s="598">
        <f t="shared" si="0"/>
        <v>0.89400000000000002</v>
      </c>
      <c r="F21" s="595" t="s">
        <v>134</v>
      </c>
      <c r="AMJ21"/>
      <c r="AMK21"/>
    </row>
    <row r="22" spans="1:1025" ht="15" customHeight="1" x14ac:dyDescent="0.2">
      <c r="A22" s="74" t="s">
        <v>169</v>
      </c>
      <c r="B22" s="75" t="s">
        <v>170</v>
      </c>
      <c r="C22" s="76">
        <v>2.2999999999999998</v>
      </c>
      <c r="D22" s="582">
        <v>2.89</v>
      </c>
      <c r="E22" s="598">
        <f t="shared" si="0"/>
        <v>6.6469999999999994</v>
      </c>
      <c r="F22" s="595" t="s">
        <v>146</v>
      </c>
      <c r="AMJ22"/>
      <c r="AMK22"/>
    </row>
    <row r="23" spans="1:1025" ht="15" customHeight="1" x14ac:dyDescent="0.2">
      <c r="A23" s="74" t="s">
        <v>171</v>
      </c>
      <c r="B23" s="75" t="s">
        <v>150</v>
      </c>
      <c r="C23" s="76">
        <v>1.48</v>
      </c>
      <c r="D23" s="582">
        <v>8.6</v>
      </c>
      <c r="E23" s="598">
        <f t="shared" si="0"/>
        <v>12.728</v>
      </c>
      <c r="F23" s="595" t="s">
        <v>148</v>
      </c>
      <c r="AMJ23"/>
      <c r="AMK23"/>
    </row>
    <row r="24" spans="1:1025" ht="15" customHeight="1" x14ac:dyDescent="0.2">
      <c r="A24" s="74" t="s">
        <v>172</v>
      </c>
      <c r="B24" s="75" t="s">
        <v>150</v>
      </c>
      <c r="C24" s="76">
        <v>2.58</v>
      </c>
      <c r="D24" s="582">
        <v>3.89</v>
      </c>
      <c r="E24" s="598">
        <f t="shared" si="0"/>
        <v>10.036200000000001</v>
      </c>
      <c r="F24" s="595" t="s">
        <v>146</v>
      </c>
      <c r="AMJ24"/>
      <c r="AMK24"/>
    </row>
    <row r="25" spans="1:1025" ht="15" customHeight="1" x14ac:dyDescent="0.2">
      <c r="A25" s="74" t="s">
        <v>173</v>
      </c>
      <c r="B25" s="75" t="s">
        <v>174</v>
      </c>
      <c r="C25" s="76">
        <v>0.62</v>
      </c>
      <c r="D25" s="582">
        <v>66.599999999999994</v>
      </c>
      <c r="E25" s="598">
        <f t="shared" si="0"/>
        <v>41.291999999999994</v>
      </c>
      <c r="F25" s="595" t="s">
        <v>148</v>
      </c>
      <c r="AMJ25"/>
      <c r="AMK25"/>
    </row>
    <row r="26" spans="1:1025" ht="15" customHeight="1" x14ac:dyDescent="0.2">
      <c r="A26" s="74" t="s">
        <v>175</v>
      </c>
      <c r="B26" s="75" t="s">
        <v>176</v>
      </c>
      <c r="C26" s="76">
        <v>2.41</v>
      </c>
      <c r="D26" s="582">
        <v>31.79</v>
      </c>
      <c r="E26" s="598">
        <f t="shared" si="0"/>
        <v>76.613900000000001</v>
      </c>
      <c r="F26" s="595" t="s">
        <v>148</v>
      </c>
      <c r="AMJ26"/>
      <c r="AMK26"/>
    </row>
    <row r="27" spans="1:1025" ht="15" customHeight="1" x14ac:dyDescent="0.2">
      <c r="A27" s="74" t="s">
        <v>177</v>
      </c>
      <c r="B27" s="75" t="s">
        <v>178</v>
      </c>
      <c r="C27" s="76">
        <v>5.88</v>
      </c>
      <c r="D27" s="582">
        <v>11.99</v>
      </c>
      <c r="E27" s="598">
        <f t="shared" si="0"/>
        <v>70.501199999999997</v>
      </c>
      <c r="F27" s="595" t="s">
        <v>148</v>
      </c>
      <c r="AMJ27"/>
      <c r="AMK27"/>
    </row>
    <row r="28" spans="1:1025" ht="15" customHeight="1" x14ac:dyDescent="0.2">
      <c r="A28" s="74" t="s">
        <v>179</v>
      </c>
      <c r="B28" s="75" t="s">
        <v>180</v>
      </c>
      <c r="C28" s="76">
        <v>2.75</v>
      </c>
      <c r="D28" s="582">
        <v>1.34</v>
      </c>
      <c r="E28" s="598">
        <f t="shared" si="0"/>
        <v>3.6850000000000001</v>
      </c>
      <c r="F28" s="595" t="s">
        <v>148</v>
      </c>
      <c r="AMJ28"/>
      <c r="AMK28"/>
    </row>
    <row r="29" spans="1:1025" ht="15" customHeight="1" x14ac:dyDescent="0.2">
      <c r="A29" s="74" t="s">
        <v>181</v>
      </c>
      <c r="B29" s="75" t="s">
        <v>139</v>
      </c>
      <c r="C29" s="76">
        <v>0.67</v>
      </c>
      <c r="D29" s="582">
        <v>20.94</v>
      </c>
      <c r="E29" s="598">
        <f t="shared" si="0"/>
        <v>14.029800000000002</v>
      </c>
      <c r="F29" s="595" t="s">
        <v>146</v>
      </c>
      <c r="AMJ29"/>
      <c r="AMK29"/>
    </row>
    <row r="30" spans="1:1025" ht="15" customHeight="1" x14ac:dyDescent="0.2">
      <c r="A30" s="74" t="s">
        <v>182</v>
      </c>
      <c r="B30" s="75" t="s">
        <v>150</v>
      </c>
      <c r="C30" s="76">
        <v>1.2</v>
      </c>
      <c r="D30" s="582">
        <v>2.4500000000000002</v>
      </c>
      <c r="E30" s="598">
        <f t="shared" si="0"/>
        <v>2.94</v>
      </c>
      <c r="F30" s="595" t="s">
        <v>146</v>
      </c>
      <c r="AMJ30"/>
      <c r="AMK30"/>
    </row>
    <row r="31" spans="1:1025" ht="15" customHeight="1" x14ac:dyDescent="0.2">
      <c r="A31" s="74" t="s">
        <v>183</v>
      </c>
      <c r="B31" s="75" t="s">
        <v>184</v>
      </c>
      <c r="C31" s="76">
        <v>0.79</v>
      </c>
      <c r="D31" s="582">
        <v>6.5</v>
      </c>
      <c r="E31" s="598">
        <f t="shared" si="0"/>
        <v>5.1349999999999998</v>
      </c>
      <c r="F31" s="595" t="s">
        <v>146</v>
      </c>
      <c r="AMJ31"/>
      <c r="AMK31"/>
    </row>
    <row r="32" spans="1:1025" ht="15" customHeight="1" x14ac:dyDescent="0.2">
      <c r="A32" s="74" t="s">
        <v>185</v>
      </c>
      <c r="B32" s="75" t="s">
        <v>139</v>
      </c>
      <c r="C32" s="76">
        <v>0.77</v>
      </c>
      <c r="D32" s="582">
        <v>22.5</v>
      </c>
      <c r="E32" s="598">
        <f t="shared" si="0"/>
        <v>17.324999999999999</v>
      </c>
      <c r="F32" s="595" t="s">
        <v>148</v>
      </c>
      <c r="AMJ32"/>
      <c r="AMK32"/>
    </row>
    <row r="33" spans="1:1025" ht="15" customHeight="1" x14ac:dyDescent="0.2">
      <c r="A33" s="74" t="s">
        <v>186</v>
      </c>
      <c r="B33" s="75" t="s">
        <v>150</v>
      </c>
      <c r="C33" s="76">
        <v>1.53</v>
      </c>
      <c r="D33" s="582">
        <v>3.92</v>
      </c>
      <c r="E33" s="598">
        <f t="shared" si="0"/>
        <v>5.9976000000000003</v>
      </c>
      <c r="F33" s="595" t="s">
        <v>187</v>
      </c>
      <c r="AMJ33"/>
      <c r="AMK33"/>
    </row>
    <row r="34" spans="1:1025" ht="15" customHeight="1" x14ac:dyDescent="0.2">
      <c r="A34" s="74" t="s">
        <v>188</v>
      </c>
      <c r="B34" s="75" t="s">
        <v>189</v>
      </c>
      <c r="C34" s="76">
        <v>0.68</v>
      </c>
      <c r="D34" s="582">
        <v>14.38</v>
      </c>
      <c r="E34" s="598">
        <f t="shared" si="0"/>
        <v>9.7784000000000013</v>
      </c>
      <c r="F34" s="595" t="s">
        <v>190</v>
      </c>
      <c r="AMJ34"/>
      <c r="AMK34"/>
    </row>
    <row r="35" spans="1:1025" ht="15" customHeight="1" x14ac:dyDescent="0.2">
      <c r="A35" s="74" t="s">
        <v>191</v>
      </c>
      <c r="B35" s="75" t="s">
        <v>189</v>
      </c>
      <c r="C35" s="76">
        <v>0.65</v>
      </c>
      <c r="D35" s="582">
        <v>17.03</v>
      </c>
      <c r="E35" s="598">
        <f t="shared" si="0"/>
        <v>11.069500000000001</v>
      </c>
      <c r="F35" s="595" t="s">
        <v>190</v>
      </c>
      <c r="AMJ35"/>
      <c r="AMK35"/>
    </row>
    <row r="36" spans="1:1025" ht="15" customHeight="1" x14ac:dyDescent="0.2">
      <c r="A36" s="79" t="s">
        <v>192</v>
      </c>
      <c r="B36" s="80" t="s">
        <v>189</v>
      </c>
      <c r="C36" s="81">
        <v>1.02</v>
      </c>
      <c r="D36" s="582">
        <v>26.45</v>
      </c>
      <c r="E36" s="598">
        <f t="shared" si="0"/>
        <v>26.978999999999999</v>
      </c>
      <c r="F36" s="596" t="s">
        <v>146</v>
      </c>
      <c r="AMJ36"/>
      <c r="AMK36"/>
    </row>
    <row r="37" spans="1:1025" ht="20.25" customHeight="1" x14ac:dyDescent="0.2">
      <c r="A37" s="83" t="s">
        <v>193</v>
      </c>
      <c r="B37" s="84"/>
      <c r="C37" s="84"/>
      <c r="D37" s="84"/>
      <c r="E37" s="85">
        <f>SUM(E3:E36)</f>
        <v>456.20399999999995</v>
      </c>
      <c r="F37" s="599"/>
      <c r="AMJ37"/>
      <c r="AMK37"/>
    </row>
    <row r="38" spans="1:1025" ht="45.75" customHeight="1" x14ac:dyDescent="0.2">
      <c r="A38" s="70" t="s">
        <v>118</v>
      </c>
      <c r="B38" s="71" t="s">
        <v>119</v>
      </c>
      <c r="C38" s="71" t="s">
        <v>194</v>
      </c>
      <c r="D38" s="72" t="s">
        <v>121</v>
      </c>
      <c r="E38" s="86" t="s">
        <v>195</v>
      </c>
      <c r="F38" s="87" t="s">
        <v>123</v>
      </c>
      <c r="AMJ38"/>
      <c r="AMK38"/>
    </row>
    <row r="39" spans="1:1025" ht="15" customHeight="1" x14ac:dyDescent="0.2">
      <c r="A39" s="88" t="s">
        <v>196</v>
      </c>
      <c r="B39" s="89" t="s">
        <v>150</v>
      </c>
      <c r="C39" s="76">
        <v>3.19</v>
      </c>
      <c r="D39" s="583">
        <v>7.6</v>
      </c>
      <c r="E39" s="90">
        <f t="shared" ref="E39:E57" si="1">C39*D39/12</f>
        <v>2.0203333333333333</v>
      </c>
      <c r="F39" s="91" t="s">
        <v>146</v>
      </c>
      <c r="AMJ39"/>
      <c r="AMK39"/>
    </row>
    <row r="40" spans="1:1025" ht="15" customHeight="1" x14ac:dyDescent="0.2">
      <c r="A40" s="92" t="s">
        <v>197</v>
      </c>
      <c r="B40" s="93" t="s">
        <v>150</v>
      </c>
      <c r="C40" s="76">
        <v>0.75</v>
      </c>
      <c r="D40" s="583">
        <v>5.05</v>
      </c>
      <c r="E40" s="90">
        <f t="shared" si="1"/>
        <v>0.31562499999999999</v>
      </c>
      <c r="F40" s="94" t="s">
        <v>148</v>
      </c>
      <c r="AMJ40"/>
      <c r="AMK40"/>
    </row>
    <row r="41" spans="1:1025" ht="15" customHeight="1" x14ac:dyDescent="0.2">
      <c r="A41" s="92" t="s">
        <v>198</v>
      </c>
      <c r="B41" s="93" t="s">
        <v>150</v>
      </c>
      <c r="C41" s="76">
        <v>0.75</v>
      </c>
      <c r="D41" s="582">
        <v>6.84</v>
      </c>
      <c r="E41" s="90">
        <f t="shared" si="1"/>
        <v>0.42749999999999999</v>
      </c>
      <c r="F41" s="94" t="s">
        <v>148</v>
      </c>
      <c r="AMJ41"/>
      <c r="AMK41"/>
    </row>
    <row r="42" spans="1:1025" ht="15" customHeight="1" x14ac:dyDescent="0.2">
      <c r="A42" s="92" t="s">
        <v>199</v>
      </c>
      <c r="B42" s="93" t="s">
        <v>150</v>
      </c>
      <c r="C42" s="76">
        <v>1.94</v>
      </c>
      <c r="D42" s="582">
        <v>26</v>
      </c>
      <c r="E42" s="90">
        <f t="shared" si="1"/>
        <v>4.2033333333333331</v>
      </c>
      <c r="F42" s="94" t="s">
        <v>146</v>
      </c>
      <c r="AMJ42"/>
      <c r="AMK42"/>
    </row>
    <row r="43" spans="1:1025" ht="15" customHeight="1" x14ac:dyDescent="0.2">
      <c r="A43" s="92" t="s">
        <v>200</v>
      </c>
      <c r="B43" s="93" t="s">
        <v>150</v>
      </c>
      <c r="C43" s="76">
        <v>2.85</v>
      </c>
      <c r="D43" s="582">
        <v>5</v>
      </c>
      <c r="E43" s="90">
        <f t="shared" si="1"/>
        <v>1.1875</v>
      </c>
      <c r="F43" s="94" t="s">
        <v>148</v>
      </c>
      <c r="AMJ43"/>
      <c r="AMK43"/>
    </row>
    <row r="44" spans="1:1025" ht="15" customHeight="1" x14ac:dyDescent="0.2">
      <c r="A44" s="92" t="s">
        <v>201</v>
      </c>
      <c r="B44" s="93" t="s">
        <v>150</v>
      </c>
      <c r="C44" s="76">
        <v>0.64</v>
      </c>
      <c r="D44" s="582">
        <v>67.95</v>
      </c>
      <c r="E44" s="90">
        <f t="shared" si="1"/>
        <v>3.6240000000000001</v>
      </c>
      <c r="F44" s="94" t="s">
        <v>146</v>
      </c>
      <c r="AMJ44"/>
      <c r="AMK44"/>
    </row>
    <row r="45" spans="1:1025" ht="15" customHeight="1" x14ac:dyDescent="0.2">
      <c r="A45" s="92" t="s">
        <v>202</v>
      </c>
      <c r="B45" s="93" t="s">
        <v>150</v>
      </c>
      <c r="C45" s="76">
        <v>1.6</v>
      </c>
      <c r="D45" s="582">
        <v>3.2</v>
      </c>
      <c r="E45" s="90">
        <f t="shared" si="1"/>
        <v>0.42666666666666675</v>
      </c>
      <c r="F45" s="94" t="s">
        <v>187</v>
      </c>
      <c r="AMJ45"/>
      <c r="AMK45"/>
    </row>
    <row r="46" spans="1:1025" ht="15" customHeight="1" x14ac:dyDescent="0.2">
      <c r="A46" s="92" t="s">
        <v>203</v>
      </c>
      <c r="B46" s="93" t="s">
        <v>150</v>
      </c>
      <c r="C46" s="76">
        <v>0.92</v>
      </c>
      <c r="D46" s="582">
        <v>18.899999999999999</v>
      </c>
      <c r="E46" s="90">
        <f t="shared" si="1"/>
        <v>1.4489999999999998</v>
      </c>
      <c r="F46" s="94" t="s">
        <v>146</v>
      </c>
      <c r="AMJ46"/>
      <c r="AMK46"/>
    </row>
    <row r="47" spans="1:1025" ht="15" customHeight="1" x14ac:dyDescent="0.2">
      <c r="A47" s="92" t="s">
        <v>204</v>
      </c>
      <c r="B47" s="93" t="s">
        <v>150</v>
      </c>
      <c r="C47" s="76">
        <v>1</v>
      </c>
      <c r="D47" s="582">
        <v>73.349999999999994</v>
      </c>
      <c r="E47" s="90">
        <f t="shared" si="1"/>
        <v>6.1124999999999998</v>
      </c>
      <c r="F47" s="94" t="s">
        <v>190</v>
      </c>
      <c r="AMJ47"/>
      <c r="AMK47"/>
    </row>
    <row r="48" spans="1:1025" ht="15" customHeight="1" x14ac:dyDescent="0.2">
      <c r="A48" s="92" t="s">
        <v>205</v>
      </c>
      <c r="B48" s="93" t="s">
        <v>150</v>
      </c>
      <c r="C48" s="76">
        <v>2.6</v>
      </c>
      <c r="D48" s="582">
        <v>71</v>
      </c>
      <c r="E48" s="90">
        <f t="shared" si="1"/>
        <v>15.383333333333333</v>
      </c>
      <c r="F48" s="94" t="s">
        <v>190</v>
      </c>
      <c r="AMJ48"/>
      <c r="AMK48"/>
    </row>
    <row r="49" spans="1:1025" ht="15" customHeight="1" x14ac:dyDescent="0.25">
      <c r="A49" s="95" t="s">
        <v>206</v>
      </c>
      <c r="B49" s="96" t="s">
        <v>150</v>
      </c>
      <c r="C49" s="76">
        <v>4</v>
      </c>
      <c r="D49" s="582">
        <v>18.96</v>
      </c>
      <c r="E49" s="90">
        <f t="shared" si="1"/>
        <v>6.32</v>
      </c>
      <c r="F49" s="97" t="s">
        <v>190</v>
      </c>
      <c r="AMJ49"/>
      <c r="AMK49"/>
    </row>
    <row r="50" spans="1:1025" ht="15" customHeight="1" x14ac:dyDescent="0.2">
      <c r="A50" s="92" t="s">
        <v>207</v>
      </c>
      <c r="B50" s="93" t="s">
        <v>150</v>
      </c>
      <c r="C50" s="76">
        <v>1</v>
      </c>
      <c r="D50" s="582">
        <v>6.12</v>
      </c>
      <c r="E50" s="90">
        <f t="shared" si="1"/>
        <v>0.51</v>
      </c>
      <c r="F50" s="94" t="s">
        <v>146</v>
      </c>
      <c r="AMJ50"/>
      <c r="AMK50"/>
    </row>
    <row r="51" spans="1:1025" ht="15" customHeight="1" x14ac:dyDescent="0.2">
      <c r="A51" s="92" t="s">
        <v>208</v>
      </c>
      <c r="B51" s="93" t="s">
        <v>150</v>
      </c>
      <c r="C51" s="76">
        <v>1.24</v>
      </c>
      <c r="D51" s="582">
        <v>7.55</v>
      </c>
      <c r="E51" s="90">
        <f t="shared" si="1"/>
        <v>0.78016666666666667</v>
      </c>
      <c r="F51" s="94" t="s">
        <v>165</v>
      </c>
      <c r="AMJ51"/>
      <c r="AMK51"/>
    </row>
    <row r="52" spans="1:1025" ht="15" customHeight="1" x14ac:dyDescent="0.2">
      <c r="A52" s="92" t="s">
        <v>209</v>
      </c>
      <c r="B52" s="93" t="s">
        <v>150</v>
      </c>
      <c r="C52" s="76">
        <v>3.85</v>
      </c>
      <c r="D52" s="582">
        <v>9.9</v>
      </c>
      <c r="E52" s="90">
        <f t="shared" si="1"/>
        <v>3.17625</v>
      </c>
      <c r="F52" s="94" t="s">
        <v>190</v>
      </c>
      <c r="AMJ52"/>
      <c r="AMK52"/>
    </row>
    <row r="53" spans="1:1025" ht="15" customHeight="1" x14ac:dyDescent="0.2">
      <c r="A53" s="92" t="s">
        <v>210</v>
      </c>
      <c r="B53" s="93" t="s">
        <v>211</v>
      </c>
      <c r="C53" s="76">
        <v>0.64</v>
      </c>
      <c r="D53" s="582">
        <v>21.9</v>
      </c>
      <c r="E53" s="90">
        <f t="shared" si="1"/>
        <v>1.1679999999999999</v>
      </c>
      <c r="F53" s="94" t="s">
        <v>146</v>
      </c>
      <c r="AMJ53"/>
      <c r="AMK53"/>
    </row>
    <row r="54" spans="1:1025" ht="15" customHeight="1" x14ac:dyDescent="0.2">
      <c r="A54" s="92" t="s">
        <v>212</v>
      </c>
      <c r="B54" s="93" t="s">
        <v>150</v>
      </c>
      <c r="C54" s="76">
        <v>1.28</v>
      </c>
      <c r="D54" s="582">
        <v>24.44</v>
      </c>
      <c r="E54" s="90">
        <f t="shared" si="1"/>
        <v>2.6069333333333335</v>
      </c>
      <c r="F54" s="94" t="s">
        <v>213</v>
      </c>
      <c r="AMJ54"/>
      <c r="AMK54"/>
    </row>
    <row r="55" spans="1:1025" ht="15" customHeight="1" x14ac:dyDescent="0.2">
      <c r="A55" s="92" t="s">
        <v>214</v>
      </c>
      <c r="B55" s="93" t="s">
        <v>150</v>
      </c>
      <c r="C55" s="76">
        <v>0.99</v>
      </c>
      <c r="D55" s="582">
        <v>15.55</v>
      </c>
      <c r="E55" s="90">
        <f t="shared" si="1"/>
        <v>1.282875</v>
      </c>
      <c r="F55" s="94" t="s">
        <v>215</v>
      </c>
      <c r="AMJ55"/>
      <c r="AMK55"/>
    </row>
    <row r="56" spans="1:1025" ht="15" customHeight="1" x14ac:dyDescent="0.2">
      <c r="A56" s="92" t="s">
        <v>216</v>
      </c>
      <c r="B56" s="93" t="s">
        <v>150</v>
      </c>
      <c r="C56" s="76">
        <v>3.9</v>
      </c>
      <c r="D56" s="582">
        <v>9.5399999999999991</v>
      </c>
      <c r="E56" s="90">
        <f t="shared" si="1"/>
        <v>3.1004999999999998</v>
      </c>
      <c r="F56" s="94" t="s">
        <v>217</v>
      </c>
      <c r="AMJ56"/>
      <c r="AMK56"/>
    </row>
    <row r="57" spans="1:1025" ht="15" customHeight="1" x14ac:dyDescent="0.2">
      <c r="A57" s="98" t="s">
        <v>218</v>
      </c>
      <c r="B57" s="99" t="s">
        <v>150</v>
      </c>
      <c r="C57" s="76">
        <v>1.48</v>
      </c>
      <c r="D57" s="582">
        <v>19.579999999999998</v>
      </c>
      <c r="E57" s="100">
        <f t="shared" si="1"/>
        <v>2.4148666666666663</v>
      </c>
      <c r="F57" s="101" t="s">
        <v>146</v>
      </c>
      <c r="AMJ57"/>
      <c r="AMK57"/>
    </row>
    <row r="58" spans="1:1025" ht="20.25" customHeight="1" x14ac:dyDescent="0.2">
      <c r="A58" s="584" t="s">
        <v>219</v>
      </c>
      <c r="B58" s="587"/>
      <c r="C58" s="588"/>
      <c r="D58" s="588"/>
      <c r="E58" s="588">
        <f>SUM(E39:E57)</f>
        <v>56.509383333333325</v>
      </c>
      <c r="F58" s="102"/>
      <c r="G58" s="585"/>
      <c r="AMJ58"/>
      <c r="AMK58"/>
    </row>
    <row r="59" spans="1:1025" ht="20.25" customHeight="1" x14ac:dyDescent="0.2">
      <c r="A59" s="584" t="s">
        <v>220</v>
      </c>
      <c r="B59" s="587"/>
      <c r="C59" s="588"/>
      <c r="D59" s="588"/>
      <c r="E59" s="588">
        <f>E37+E58</f>
        <v>512.71338333333324</v>
      </c>
      <c r="F59" s="103"/>
      <c r="G59" s="586"/>
      <c r="AMJ59"/>
      <c r="AMK59"/>
    </row>
    <row r="60" spans="1:1025" x14ac:dyDescent="0.2">
      <c r="A60" s="104"/>
      <c r="B60" s="105"/>
      <c r="C60" s="105"/>
      <c r="D60" s="105"/>
      <c r="E60" s="105"/>
      <c r="F60" s="105"/>
      <c r="G60" s="105"/>
      <c r="H60" s="106"/>
    </row>
    <row r="61" spans="1:1025" ht="20.25" customHeight="1" x14ac:dyDescent="0.2">
      <c r="A61" s="805" t="s">
        <v>221</v>
      </c>
      <c r="B61" s="806"/>
      <c r="C61" s="806"/>
      <c r="D61" s="806"/>
      <c r="E61" s="806"/>
      <c r="F61" s="817"/>
      <c r="AMJ61"/>
      <c r="AMK61"/>
    </row>
    <row r="62" spans="1:1025" ht="54.75" customHeight="1" x14ac:dyDescent="0.2">
      <c r="A62" s="107" t="s">
        <v>118</v>
      </c>
      <c r="B62" s="108" t="s">
        <v>119</v>
      </c>
      <c r="C62" s="108" t="s">
        <v>222</v>
      </c>
      <c r="D62" s="72" t="s">
        <v>121</v>
      </c>
      <c r="E62" s="73" t="s">
        <v>223</v>
      </c>
      <c r="F62" s="109" t="s">
        <v>123</v>
      </c>
      <c r="AMJ62"/>
      <c r="AMK62"/>
    </row>
    <row r="63" spans="1:1025" ht="15" customHeight="1" x14ac:dyDescent="0.2">
      <c r="A63" s="95" t="s">
        <v>224</v>
      </c>
      <c r="B63" s="93" t="s">
        <v>126</v>
      </c>
      <c r="C63" s="110">
        <f>0.1*22</f>
        <v>2.2000000000000002</v>
      </c>
      <c r="D63" s="589">
        <v>46.3</v>
      </c>
      <c r="E63" s="77">
        <f>C63*D63</f>
        <v>101.86</v>
      </c>
      <c r="F63" s="78" t="s">
        <v>225</v>
      </c>
      <c r="AMJ63"/>
      <c r="AMK63"/>
    </row>
    <row r="64" spans="1:1025" ht="15" customHeight="1" x14ac:dyDescent="0.2">
      <c r="A64" s="111" t="s">
        <v>136</v>
      </c>
      <c r="B64" s="93" t="s">
        <v>126</v>
      </c>
      <c r="C64" s="110">
        <f>0.5*22</f>
        <v>11</v>
      </c>
      <c r="D64" s="589">
        <v>6.5</v>
      </c>
      <c r="E64" s="77">
        <f>C64*D64</f>
        <v>71.5</v>
      </c>
      <c r="F64" s="78" t="s">
        <v>134</v>
      </c>
      <c r="AMJ64"/>
      <c r="AMK64"/>
    </row>
    <row r="65" spans="1:1025" ht="15" customHeight="1" x14ac:dyDescent="0.2">
      <c r="A65" s="112" t="s">
        <v>155</v>
      </c>
      <c r="B65" s="99" t="s">
        <v>150</v>
      </c>
      <c r="C65" s="110">
        <v>4</v>
      </c>
      <c r="D65" s="589">
        <v>2.2000000000000002</v>
      </c>
      <c r="E65" s="77">
        <f>C65*D65</f>
        <v>8.8000000000000007</v>
      </c>
      <c r="F65" s="82" t="s">
        <v>226</v>
      </c>
      <c r="AMJ65"/>
      <c r="AMK65"/>
    </row>
    <row r="66" spans="1:1025" ht="15" customHeight="1" x14ac:dyDescent="0.2">
      <c r="A66" s="113" t="s">
        <v>227</v>
      </c>
      <c r="B66" s="93" t="s">
        <v>189</v>
      </c>
      <c r="C66" s="110">
        <f>4*2*22</f>
        <v>176</v>
      </c>
      <c r="D66" s="589">
        <v>0.47</v>
      </c>
      <c r="E66" s="77">
        <f>C66*D66</f>
        <v>82.72</v>
      </c>
      <c r="F66" s="82" t="s">
        <v>228</v>
      </c>
      <c r="AMJ66"/>
      <c r="AMK66"/>
    </row>
    <row r="67" spans="1:1025" ht="35.25" customHeight="1" x14ac:dyDescent="0.2">
      <c r="A67" s="107" t="s">
        <v>118</v>
      </c>
      <c r="B67" s="108" t="s">
        <v>119</v>
      </c>
      <c r="C67" s="108" t="s">
        <v>229</v>
      </c>
      <c r="D67" s="114" t="s">
        <v>121</v>
      </c>
      <c r="E67" s="73" t="s">
        <v>230</v>
      </c>
      <c r="F67" s="109" t="s">
        <v>123</v>
      </c>
      <c r="AMJ67"/>
      <c r="AMK67"/>
    </row>
    <row r="68" spans="1:1025" ht="15" customHeight="1" x14ac:dyDescent="0.2">
      <c r="A68" s="88" t="s">
        <v>231</v>
      </c>
      <c r="B68" s="89" t="s">
        <v>150</v>
      </c>
      <c r="C68" s="110">
        <f>2*4</f>
        <v>8</v>
      </c>
      <c r="D68" s="583">
        <v>5.78</v>
      </c>
      <c r="E68" s="100">
        <f>C68*D68/12</f>
        <v>3.8533333333333335</v>
      </c>
      <c r="F68" s="115" t="s">
        <v>228</v>
      </c>
      <c r="AMJ68"/>
      <c r="AMK68"/>
    </row>
    <row r="69" spans="1:1025" ht="20.25" customHeight="1" x14ac:dyDescent="0.2">
      <c r="A69" s="584" t="s">
        <v>232</v>
      </c>
      <c r="B69" s="587"/>
      <c r="C69" s="588"/>
      <c r="D69" s="588"/>
      <c r="E69" s="588">
        <f>SUM(E63:E66)+SUM(E68)</f>
        <v>268.73333333333335</v>
      </c>
      <c r="F69" s="103"/>
      <c r="AMJ69"/>
      <c r="AMK69"/>
    </row>
    <row r="70" spans="1:1025" x14ac:dyDescent="0.2">
      <c r="A70" s="104"/>
      <c r="B70" s="105"/>
      <c r="C70" s="105"/>
      <c r="D70" s="105"/>
      <c r="E70" s="105"/>
      <c r="F70" s="105"/>
      <c r="G70" s="105"/>
      <c r="H70" s="105"/>
      <c r="I70" s="105"/>
      <c r="J70" s="105"/>
    </row>
    <row r="71" spans="1:1025" x14ac:dyDescent="0.2">
      <c r="A71" s="105" t="s">
        <v>233</v>
      </c>
      <c r="B71" s="105"/>
      <c r="C71" s="105"/>
      <c r="D71" s="105"/>
      <c r="E71" s="116"/>
      <c r="F71" s="105"/>
      <c r="G71" s="105"/>
      <c r="H71" s="106"/>
      <c r="I71" s="106"/>
      <c r="J71" s="105"/>
    </row>
    <row r="72" spans="1:1025" x14ac:dyDescent="0.2">
      <c r="A72" s="105"/>
      <c r="B72" s="105"/>
      <c r="C72" s="105"/>
      <c r="D72" s="105"/>
      <c r="E72" s="116"/>
      <c r="F72" s="116"/>
      <c r="G72" s="116"/>
      <c r="H72" s="106"/>
      <c r="I72" s="106"/>
      <c r="J72" s="105"/>
    </row>
    <row r="73" spans="1:1025" x14ac:dyDescent="0.2">
      <c r="A73" s="105" t="s">
        <v>234</v>
      </c>
      <c r="B73" s="105"/>
      <c r="C73" s="105"/>
      <c r="D73" s="105"/>
      <c r="E73" s="105"/>
      <c r="F73" s="105"/>
      <c r="G73" s="105"/>
      <c r="H73" s="105"/>
      <c r="I73" s="105"/>
      <c r="J73" s="105"/>
    </row>
    <row r="74" spans="1:1025" x14ac:dyDescent="0.2">
      <c r="A74" s="105" t="s">
        <v>235</v>
      </c>
      <c r="B74" s="105"/>
      <c r="C74" s="105"/>
      <c r="D74" s="105"/>
      <c r="E74" s="105"/>
      <c r="F74" s="105"/>
      <c r="G74" s="105"/>
      <c r="H74" s="116"/>
      <c r="I74" s="116"/>
      <c r="J74" s="105"/>
    </row>
    <row r="75" spans="1:1025" x14ac:dyDescent="0.2">
      <c r="A75" s="105" t="s">
        <v>236</v>
      </c>
      <c r="B75" s="105"/>
      <c r="C75" s="105"/>
      <c r="D75" s="105"/>
      <c r="E75" s="105"/>
      <c r="F75" s="105"/>
      <c r="G75" s="105"/>
      <c r="H75" s="117"/>
      <c r="I75" s="117"/>
      <c r="J75" s="105"/>
    </row>
    <row r="76" spans="1:1025" x14ac:dyDescent="0.2">
      <c r="A76" s="105" t="s">
        <v>237</v>
      </c>
      <c r="B76" s="105"/>
      <c r="C76" s="105"/>
      <c r="D76" s="105"/>
      <c r="E76" s="105"/>
      <c r="F76" s="105"/>
      <c r="G76" s="105"/>
      <c r="H76" s="116"/>
      <c r="I76" s="116"/>
      <c r="J76" s="105"/>
    </row>
    <row r="77" spans="1:1025" x14ac:dyDescent="0.2">
      <c r="A77" s="105" t="s">
        <v>238</v>
      </c>
      <c r="B77" s="105"/>
      <c r="C77" s="105"/>
      <c r="D77" s="105"/>
      <c r="E77" s="105"/>
      <c r="F77" s="105"/>
      <c r="G77" s="105"/>
      <c r="H77" s="105"/>
      <c r="I77" s="105"/>
      <c r="J77" s="105"/>
    </row>
    <row r="78" spans="1:1025" x14ac:dyDescent="0.2">
      <c r="A78" s="105" t="s">
        <v>239</v>
      </c>
      <c r="B78" s="105"/>
      <c r="C78" s="105"/>
      <c r="D78" s="105"/>
      <c r="E78" s="105"/>
      <c r="F78" s="105"/>
      <c r="G78" s="105"/>
      <c r="H78" s="105"/>
      <c r="I78" s="105"/>
      <c r="J78" s="105"/>
    </row>
    <row r="79" spans="1:1025" x14ac:dyDescent="0.2">
      <c r="A79" s="105" t="s">
        <v>240</v>
      </c>
      <c r="B79" s="105"/>
      <c r="C79" s="105"/>
      <c r="D79" s="105"/>
      <c r="E79" s="105"/>
      <c r="F79" s="105"/>
      <c r="G79" s="105"/>
      <c r="H79" s="105"/>
      <c r="I79" s="105"/>
      <c r="J79" s="105"/>
    </row>
    <row r="80" spans="1:1025" x14ac:dyDescent="0.2">
      <c r="A80" s="105" t="s">
        <v>241</v>
      </c>
      <c r="B80" s="105"/>
      <c r="C80" s="105"/>
      <c r="D80" s="105"/>
      <c r="E80" s="105"/>
      <c r="F80" s="105"/>
      <c r="G80" s="105"/>
      <c r="H80" s="105"/>
      <c r="I80" s="105"/>
      <c r="J80" s="105"/>
    </row>
    <row r="81" spans="1:1025" x14ac:dyDescent="0.2">
      <c r="A81" s="105" t="s">
        <v>242</v>
      </c>
      <c r="B81" s="105"/>
      <c r="C81" s="105"/>
      <c r="D81" s="105"/>
      <c r="E81" s="105"/>
      <c r="F81" s="105"/>
      <c r="G81" s="105"/>
      <c r="H81" s="105"/>
      <c r="I81" s="105"/>
      <c r="J81" s="105"/>
    </row>
    <row r="82" spans="1:1025" x14ac:dyDescent="0.2">
      <c r="A82" s="105" t="s">
        <v>243</v>
      </c>
      <c r="B82" s="105"/>
      <c r="C82" s="105"/>
      <c r="D82" s="105"/>
      <c r="E82" s="105"/>
      <c r="F82" s="105"/>
      <c r="G82" s="105"/>
      <c r="H82" s="105"/>
      <c r="I82" s="105"/>
      <c r="J82" s="105"/>
    </row>
    <row r="83" spans="1:1025" x14ac:dyDescent="0.2">
      <c r="A83" s="104"/>
      <c r="B83" s="105"/>
      <c r="C83" s="105"/>
      <c r="D83" s="105"/>
      <c r="E83" s="105"/>
      <c r="F83" s="105"/>
      <c r="G83" s="105"/>
      <c r="H83" s="105"/>
      <c r="I83" s="105"/>
      <c r="J83" s="105"/>
    </row>
    <row r="84" spans="1:1025" x14ac:dyDescent="0.2">
      <c r="A84" s="104"/>
      <c r="B84" s="105"/>
      <c r="C84" s="105"/>
      <c r="D84" s="105"/>
      <c r="E84" s="105"/>
      <c r="F84" s="105"/>
      <c r="G84" s="105"/>
      <c r="H84" s="105"/>
      <c r="I84" s="105"/>
      <c r="J84" s="105"/>
    </row>
    <row r="85" spans="1:1025" ht="20.25" customHeight="1" x14ac:dyDescent="0.2">
      <c r="A85" s="814" t="s">
        <v>244</v>
      </c>
      <c r="B85" s="815"/>
      <c r="C85" s="815"/>
      <c r="D85" s="815"/>
      <c r="E85" s="815"/>
      <c r="F85" s="815"/>
      <c r="G85" s="816"/>
      <c r="H85" s="118"/>
      <c r="AMJ85"/>
      <c r="AMK85"/>
    </row>
    <row r="86" spans="1:1025" s="123" customFormat="1" ht="46.5" customHeight="1" x14ac:dyDescent="0.2">
      <c r="A86" s="119" t="s">
        <v>118</v>
      </c>
      <c r="B86" s="120" t="s">
        <v>119</v>
      </c>
      <c r="C86" s="120" t="s">
        <v>245</v>
      </c>
      <c r="D86" s="120" t="s">
        <v>246</v>
      </c>
      <c r="E86" s="121" t="s">
        <v>121</v>
      </c>
      <c r="F86" s="122" t="s">
        <v>247</v>
      </c>
      <c r="G86" s="122" t="s">
        <v>248</v>
      </c>
    </row>
    <row r="87" spans="1:1025" ht="15" customHeight="1" x14ac:dyDescent="0.2">
      <c r="A87" s="111" t="s">
        <v>249</v>
      </c>
      <c r="B87" s="89" t="s">
        <v>150</v>
      </c>
      <c r="C87" s="89">
        <v>17</v>
      </c>
      <c r="D87" s="89">
        <v>13</v>
      </c>
      <c r="E87" s="600">
        <v>398.99</v>
      </c>
      <c r="F87" s="77">
        <f>(C87*E87)</f>
        <v>6782.83</v>
      </c>
      <c r="G87" s="77">
        <f>D87*E87</f>
        <v>5186.87</v>
      </c>
      <c r="AMJ87"/>
      <c r="AMK87"/>
    </row>
    <row r="88" spans="1:1025" ht="15" customHeight="1" x14ac:dyDescent="0.2">
      <c r="A88" s="111" t="s">
        <v>250</v>
      </c>
      <c r="B88" s="93" t="s">
        <v>150</v>
      </c>
      <c r="C88" s="89">
        <v>17</v>
      </c>
      <c r="D88" s="89">
        <v>13</v>
      </c>
      <c r="E88" s="601">
        <v>99.13</v>
      </c>
      <c r="F88" s="77">
        <f t="shared" ref="F88:F97" si="2">(C88*E88)</f>
        <v>1685.21</v>
      </c>
      <c r="G88" s="77">
        <f t="shared" ref="G88:G97" si="3">D88*E88</f>
        <v>1288.69</v>
      </c>
      <c r="AMJ88"/>
      <c r="AMK88"/>
    </row>
    <row r="89" spans="1:1025" ht="15" customHeight="1" x14ac:dyDescent="0.2">
      <c r="A89" s="111" t="s">
        <v>251</v>
      </c>
      <c r="B89" s="93" t="s">
        <v>150</v>
      </c>
      <c r="C89" s="89">
        <v>17</v>
      </c>
      <c r="D89" s="89">
        <v>13</v>
      </c>
      <c r="E89" s="600">
        <v>765</v>
      </c>
      <c r="F89" s="77">
        <f t="shared" si="2"/>
        <v>13005</v>
      </c>
      <c r="G89" s="77">
        <f t="shared" si="3"/>
        <v>9945</v>
      </c>
      <c r="AMJ89"/>
      <c r="AMK89"/>
    </row>
    <row r="90" spans="1:1025" ht="15" customHeight="1" x14ac:dyDescent="0.2">
      <c r="A90" s="111" t="s">
        <v>252</v>
      </c>
      <c r="B90" s="93" t="s">
        <v>150</v>
      </c>
      <c r="C90" s="89">
        <v>17</v>
      </c>
      <c r="D90" s="89">
        <v>13</v>
      </c>
      <c r="E90" s="600">
        <v>1977.55</v>
      </c>
      <c r="F90" s="77">
        <f t="shared" si="2"/>
        <v>33618.35</v>
      </c>
      <c r="G90" s="77">
        <f t="shared" si="3"/>
        <v>25708.149999999998</v>
      </c>
      <c r="AMJ90"/>
      <c r="AMK90"/>
    </row>
    <row r="91" spans="1:1025" ht="15" customHeight="1" x14ac:dyDescent="0.2">
      <c r="A91" s="111" t="s">
        <v>253</v>
      </c>
      <c r="B91" s="93" t="s">
        <v>150</v>
      </c>
      <c r="C91" s="89">
        <v>17</v>
      </c>
      <c r="D91" s="89">
        <v>13</v>
      </c>
      <c r="E91" s="600">
        <v>213.07</v>
      </c>
      <c r="F91" s="77">
        <f t="shared" si="2"/>
        <v>3622.19</v>
      </c>
      <c r="G91" s="77">
        <f t="shared" si="3"/>
        <v>2769.91</v>
      </c>
      <c r="AMJ91"/>
      <c r="AMK91"/>
    </row>
    <row r="92" spans="1:1025" ht="15" customHeight="1" x14ac:dyDescent="0.2">
      <c r="A92" s="111" t="s">
        <v>254</v>
      </c>
      <c r="B92" s="93" t="s">
        <v>150</v>
      </c>
      <c r="C92" s="89">
        <v>17</v>
      </c>
      <c r="D92" s="89">
        <v>13</v>
      </c>
      <c r="E92" s="600">
        <v>52.67</v>
      </c>
      <c r="F92" s="77">
        <f t="shared" si="2"/>
        <v>895.39</v>
      </c>
      <c r="G92" s="77">
        <f t="shared" si="3"/>
        <v>684.71</v>
      </c>
      <c r="AMJ92"/>
      <c r="AMK92"/>
    </row>
    <row r="93" spans="1:1025" ht="15" customHeight="1" x14ac:dyDescent="0.2">
      <c r="A93" s="111" t="s">
        <v>255</v>
      </c>
      <c r="B93" s="93" t="s">
        <v>150</v>
      </c>
      <c r="C93" s="89">
        <v>17</v>
      </c>
      <c r="D93" s="89">
        <v>13</v>
      </c>
      <c r="E93" s="600">
        <v>670</v>
      </c>
      <c r="F93" s="77">
        <f t="shared" si="2"/>
        <v>11390</v>
      </c>
      <c r="G93" s="77">
        <f t="shared" si="3"/>
        <v>8710</v>
      </c>
      <c r="AMJ93"/>
      <c r="AMK93"/>
    </row>
    <row r="94" spans="1:1025" ht="15" customHeight="1" x14ac:dyDescent="0.2">
      <c r="A94" s="111" t="s">
        <v>256</v>
      </c>
      <c r="B94" s="93" t="s">
        <v>150</v>
      </c>
      <c r="C94" s="89">
        <v>17</v>
      </c>
      <c r="D94" s="89">
        <v>13</v>
      </c>
      <c r="E94" s="600">
        <v>70.58</v>
      </c>
      <c r="F94" s="77">
        <f t="shared" si="2"/>
        <v>1199.8599999999999</v>
      </c>
      <c r="G94" s="77">
        <f t="shared" si="3"/>
        <v>917.54</v>
      </c>
      <c r="AMJ94"/>
      <c r="AMK94"/>
    </row>
    <row r="95" spans="1:1025" ht="15" customHeight="1" x14ac:dyDescent="0.2">
      <c r="A95" s="111" t="s">
        <v>257</v>
      </c>
      <c r="B95" s="93" t="s">
        <v>150</v>
      </c>
      <c r="C95" s="89">
        <f>17*2</f>
        <v>34</v>
      </c>
      <c r="D95" s="89">
        <f>13*2</f>
        <v>26</v>
      </c>
      <c r="E95" s="600">
        <v>40.159999999999997</v>
      </c>
      <c r="F95" s="77">
        <f t="shared" si="2"/>
        <v>1365.4399999999998</v>
      </c>
      <c r="G95" s="77">
        <f t="shared" si="3"/>
        <v>1044.1599999999999</v>
      </c>
      <c r="AMJ95"/>
      <c r="AMK95"/>
    </row>
    <row r="96" spans="1:1025" ht="15" customHeight="1" x14ac:dyDescent="0.2">
      <c r="A96" s="124" t="s">
        <v>258</v>
      </c>
      <c r="B96" s="93" t="s">
        <v>150</v>
      </c>
      <c r="C96" s="89">
        <v>17</v>
      </c>
      <c r="D96" s="89">
        <v>0</v>
      </c>
      <c r="E96" s="602">
        <v>25.42</v>
      </c>
      <c r="F96" s="77">
        <f t="shared" si="2"/>
        <v>432.14000000000004</v>
      </c>
      <c r="G96" s="77">
        <f t="shared" si="3"/>
        <v>0</v>
      </c>
      <c r="AMJ96"/>
      <c r="AMK96"/>
    </row>
    <row r="97" spans="1:1025" ht="15" customHeight="1" x14ac:dyDescent="0.2">
      <c r="A97" s="636" t="s">
        <v>259</v>
      </c>
      <c r="B97" s="637" t="s">
        <v>150</v>
      </c>
      <c r="C97" s="638">
        <v>17</v>
      </c>
      <c r="D97" s="638">
        <v>13</v>
      </c>
      <c r="E97" s="639">
        <v>1565</v>
      </c>
      <c r="F97" s="640">
        <f t="shared" si="2"/>
        <v>26605</v>
      </c>
      <c r="G97" s="640">
        <f t="shared" si="3"/>
        <v>20345</v>
      </c>
      <c r="AMJ97"/>
      <c r="AMK97"/>
    </row>
    <row r="98" spans="1:1025" ht="20.25" customHeight="1" x14ac:dyDescent="0.2">
      <c r="A98" s="812" t="s">
        <v>260</v>
      </c>
      <c r="B98" s="813"/>
      <c r="C98" s="813"/>
      <c r="D98" s="810"/>
      <c r="E98" s="811"/>
      <c r="F98" s="125">
        <f>SUM(F87:F97)</f>
        <v>100601.41</v>
      </c>
      <c r="G98" s="126">
        <f>SUM(G87:G97)</f>
        <v>76600.03</v>
      </c>
      <c r="H98" s="127"/>
      <c r="AMJ98"/>
      <c r="AMK98"/>
    </row>
    <row r="99" spans="1:1025" ht="20.25" customHeight="1" x14ac:dyDescent="0.2">
      <c r="A99" s="603" t="s">
        <v>261</v>
      </c>
      <c r="B99" s="604"/>
      <c r="C99" s="605">
        <v>0.1</v>
      </c>
      <c r="D99" s="128"/>
      <c r="E99" s="129"/>
      <c r="F99" s="130">
        <f>(F98*C99)</f>
        <v>10060.141000000001</v>
      </c>
      <c r="G99" s="131">
        <f>G98*C99</f>
        <v>7660.0030000000006</v>
      </c>
      <c r="H99" s="127"/>
      <c r="AMJ99"/>
      <c r="AMK99"/>
    </row>
    <row r="100" spans="1:1025" ht="20.25" customHeight="1" x14ac:dyDescent="0.2">
      <c r="A100" s="808" t="s">
        <v>262</v>
      </c>
      <c r="B100" s="809"/>
      <c r="C100" s="809"/>
      <c r="D100" s="810"/>
      <c r="E100" s="811"/>
      <c r="F100" s="125">
        <f>(F99/'Prod. GEXCHA'!O22)/12</f>
        <v>33.533803333333339</v>
      </c>
      <c r="G100" s="126">
        <f>(G99/'Prod. GEXCRI'!O18)/12</f>
        <v>26.597232638888894</v>
      </c>
      <c r="H100" s="127"/>
      <c r="AMJ100"/>
      <c r="AMK100"/>
    </row>
    <row r="101" spans="1:1025" x14ac:dyDescent="0.2">
      <c r="A101" s="104"/>
      <c r="B101" s="105"/>
      <c r="C101" s="105"/>
      <c r="D101" s="105"/>
      <c r="E101" s="105"/>
      <c r="F101" s="105"/>
      <c r="G101" s="116"/>
      <c r="H101" s="105"/>
      <c r="I101" s="105"/>
      <c r="J101" s="105"/>
    </row>
    <row r="102" spans="1:1025" ht="20.25" customHeight="1" x14ac:dyDescent="0.2">
      <c r="A102" s="818" t="s">
        <v>263</v>
      </c>
      <c r="B102" s="819"/>
      <c r="C102" s="819"/>
      <c r="D102" s="819"/>
      <c r="E102" s="819"/>
      <c r="F102" s="820"/>
      <c r="G102" s="105"/>
      <c r="AMI102"/>
      <c r="AMJ102"/>
      <c r="AMK102"/>
    </row>
    <row r="103" spans="1:1025" s="123" customFormat="1" ht="47.25" customHeight="1" x14ac:dyDescent="0.2">
      <c r="A103" s="132" t="s">
        <v>118</v>
      </c>
      <c r="B103" s="133" t="s">
        <v>119</v>
      </c>
      <c r="C103" s="133" t="s">
        <v>264</v>
      </c>
      <c r="D103" s="133" t="s">
        <v>264</v>
      </c>
      <c r="E103" s="134" t="s">
        <v>265</v>
      </c>
      <c r="F103" s="135" t="s">
        <v>266</v>
      </c>
      <c r="G103" s="136"/>
    </row>
    <row r="104" spans="1:1025" ht="15" customHeight="1" x14ac:dyDescent="0.2">
      <c r="A104" s="88" t="s">
        <v>267</v>
      </c>
      <c r="B104" s="89" t="s">
        <v>150</v>
      </c>
      <c r="C104" s="89">
        <v>2</v>
      </c>
      <c r="D104" s="89">
        <v>2</v>
      </c>
      <c r="E104" s="606">
        <v>31.25</v>
      </c>
      <c r="F104" s="77">
        <f>(C104*E104)/12</f>
        <v>5.208333333333333</v>
      </c>
      <c r="G104" s="105"/>
      <c r="AMI104"/>
      <c r="AMJ104"/>
      <c r="AMK104"/>
    </row>
    <row r="105" spans="1:1025" ht="15" customHeight="1" x14ac:dyDescent="0.2">
      <c r="A105" s="92" t="s">
        <v>268</v>
      </c>
      <c r="B105" s="93" t="s">
        <v>150</v>
      </c>
      <c r="C105" s="93">
        <v>1</v>
      </c>
      <c r="D105" s="93">
        <v>1</v>
      </c>
      <c r="E105" s="606">
        <v>37.909999999999997</v>
      </c>
      <c r="F105" s="77">
        <f t="shared" ref="F105:F109" si="4">(C105*E105)/12</f>
        <v>3.1591666666666662</v>
      </c>
      <c r="G105" s="105"/>
      <c r="AMI105"/>
      <c r="AMJ105"/>
      <c r="AMK105"/>
    </row>
    <row r="106" spans="1:1025" ht="15" customHeight="1" x14ac:dyDescent="0.2">
      <c r="A106" s="92" t="s">
        <v>269</v>
      </c>
      <c r="B106" s="93" t="s">
        <v>150</v>
      </c>
      <c r="C106" s="93">
        <v>2</v>
      </c>
      <c r="D106" s="93">
        <v>2</v>
      </c>
      <c r="E106" s="606">
        <v>57.4</v>
      </c>
      <c r="F106" s="77">
        <f t="shared" si="4"/>
        <v>9.5666666666666664</v>
      </c>
      <c r="G106" s="116"/>
      <c r="AMI106"/>
      <c r="AMJ106"/>
      <c r="AMK106"/>
    </row>
    <row r="107" spans="1:1025" ht="15" customHeight="1" x14ac:dyDescent="0.2">
      <c r="A107" s="92" t="s">
        <v>270</v>
      </c>
      <c r="B107" s="93" t="s">
        <v>150</v>
      </c>
      <c r="C107" s="93">
        <v>2</v>
      </c>
      <c r="D107" s="93">
        <v>2</v>
      </c>
      <c r="E107" s="606">
        <v>24.24</v>
      </c>
      <c r="F107" s="77">
        <f t="shared" si="4"/>
        <v>4.04</v>
      </c>
      <c r="G107" s="105"/>
      <c r="AMI107"/>
      <c r="AMJ107"/>
      <c r="AMK107"/>
    </row>
    <row r="108" spans="1:1025" ht="15" customHeight="1" x14ac:dyDescent="0.2">
      <c r="A108" s="98" t="s">
        <v>271</v>
      </c>
      <c r="B108" s="99" t="s">
        <v>150</v>
      </c>
      <c r="C108" s="99">
        <v>1</v>
      </c>
      <c r="D108" s="99">
        <v>1</v>
      </c>
      <c r="E108" s="607">
        <v>8</v>
      </c>
      <c r="F108" s="77">
        <f t="shared" si="4"/>
        <v>0.66666666666666663</v>
      </c>
      <c r="G108" s="105"/>
      <c r="AMI108"/>
      <c r="AMJ108"/>
      <c r="AMK108"/>
    </row>
    <row r="109" spans="1:1025" ht="15" customHeight="1" x14ac:dyDescent="0.2">
      <c r="A109" s="137" t="s">
        <v>272</v>
      </c>
      <c r="B109" s="138" t="s">
        <v>170</v>
      </c>
      <c r="C109" s="138">
        <v>2</v>
      </c>
      <c r="D109" s="138">
        <v>2</v>
      </c>
      <c r="E109" s="608">
        <v>65</v>
      </c>
      <c r="F109" s="77">
        <f t="shared" si="4"/>
        <v>10.833333333333334</v>
      </c>
      <c r="G109" s="105"/>
      <c r="AMI109"/>
      <c r="AMJ109"/>
      <c r="AMK109"/>
    </row>
    <row r="110" spans="1:1025" ht="20.25" customHeight="1" x14ac:dyDescent="0.2">
      <c r="A110" s="821" t="s">
        <v>273</v>
      </c>
      <c r="B110" s="822"/>
      <c r="C110" s="822"/>
      <c r="D110" s="822"/>
      <c r="E110" s="823"/>
      <c r="F110" s="609">
        <f>SUM(F104:F109)</f>
        <v>33.474166666666669</v>
      </c>
      <c r="G110" s="105"/>
      <c r="AMI110"/>
      <c r="AMJ110"/>
      <c r="AMK110"/>
    </row>
    <row r="111" spans="1:1025" x14ac:dyDescent="0.2">
      <c r="A111" s="104"/>
      <c r="B111" s="105"/>
      <c r="C111" s="105"/>
      <c r="D111" s="105"/>
      <c r="E111" s="105"/>
      <c r="F111" s="105"/>
      <c r="G111" s="105"/>
      <c r="H111" s="105"/>
      <c r="I111" s="105"/>
      <c r="J111" s="105"/>
    </row>
    <row r="112" spans="1:1025" ht="20.25" customHeight="1" x14ac:dyDescent="0.2">
      <c r="A112" s="824" t="s">
        <v>274</v>
      </c>
      <c r="B112" s="825"/>
      <c r="C112" s="825"/>
      <c r="D112" s="825"/>
      <c r="E112" s="826"/>
      <c r="F112" s="610"/>
      <c r="G112" s="611"/>
      <c r="AMJ112"/>
      <c r="AMK112"/>
    </row>
    <row r="113" spans="1:1025" s="123" customFormat="1" ht="59.25" customHeight="1" x14ac:dyDescent="0.2">
      <c r="A113" s="139" t="s">
        <v>118</v>
      </c>
      <c r="B113" s="140" t="s">
        <v>119</v>
      </c>
      <c r="C113" s="140" t="s">
        <v>275</v>
      </c>
      <c r="D113" s="140" t="s">
        <v>276</v>
      </c>
      <c r="E113" s="141" t="s">
        <v>265</v>
      </c>
      <c r="F113" s="142" t="s">
        <v>277</v>
      </c>
      <c r="G113" s="142" t="s">
        <v>278</v>
      </c>
    </row>
    <row r="114" spans="1:1025" ht="20.25" customHeight="1" x14ac:dyDescent="0.2">
      <c r="A114" s="827" t="s">
        <v>279</v>
      </c>
      <c r="B114" s="828"/>
      <c r="C114" s="828"/>
      <c r="D114" s="828"/>
      <c r="E114" s="829"/>
      <c r="F114" s="143">
        <f>SUM(F115:F119)</f>
        <v>191.57999999999998</v>
      </c>
      <c r="G114" s="143">
        <f>SUM(G115:G119)</f>
        <v>213.35999999999999</v>
      </c>
      <c r="AMJ114"/>
      <c r="AMK114"/>
    </row>
    <row r="115" spans="1:1025" ht="15" customHeight="1" x14ac:dyDescent="0.2">
      <c r="A115" s="111" t="s">
        <v>280</v>
      </c>
      <c r="B115" s="144" t="s">
        <v>150</v>
      </c>
      <c r="C115" s="89">
        <f>22</f>
        <v>22</v>
      </c>
      <c r="D115" s="89">
        <f>22</f>
        <v>22</v>
      </c>
      <c r="E115" s="589">
        <v>6.58</v>
      </c>
      <c r="F115" s="145">
        <f>C115*E115</f>
        <v>144.76</v>
      </c>
      <c r="G115" s="145">
        <f>D115*E115</f>
        <v>144.76</v>
      </c>
      <c r="AMJ115"/>
      <c r="AMK115"/>
    </row>
    <row r="116" spans="1:1025" ht="15" customHeight="1" x14ac:dyDescent="0.2">
      <c r="A116" s="111" t="s">
        <v>281</v>
      </c>
      <c r="B116" s="146" t="s">
        <v>150</v>
      </c>
      <c r="C116" s="147">
        <f>1/6</f>
        <v>0.16666666666666666</v>
      </c>
      <c r="D116" s="148">
        <f>1/6</f>
        <v>0.16666666666666666</v>
      </c>
      <c r="E116" s="589">
        <v>9</v>
      </c>
      <c r="F116" s="149">
        <f>C116*E116</f>
        <v>1.5</v>
      </c>
      <c r="G116" s="150">
        <f>D116*E116</f>
        <v>1.5</v>
      </c>
      <c r="AMJ116"/>
      <c r="AMK116"/>
    </row>
    <row r="117" spans="1:1025" ht="15" customHeight="1" x14ac:dyDescent="0.2">
      <c r="A117" s="111" t="s">
        <v>282</v>
      </c>
      <c r="B117" s="146" t="s">
        <v>170</v>
      </c>
      <c r="C117" s="93">
        <f>2*22</f>
        <v>44</v>
      </c>
      <c r="D117" s="89">
        <f>3*22</f>
        <v>66</v>
      </c>
      <c r="E117" s="589">
        <v>0.35</v>
      </c>
      <c r="F117" s="149">
        <f>C117*E117</f>
        <v>15.399999999999999</v>
      </c>
      <c r="G117" s="150">
        <f>D117*E117</f>
        <v>23.099999999999998</v>
      </c>
      <c r="AMJ117"/>
      <c r="AMK117"/>
    </row>
    <row r="118" spans="1:1025" ht="15" customHeight="1" x14ac:dyDescent="0.2">
      <c r="A118" s="111" t="s">
        <v>283</v>
      </c>
      <c r="B118" s="146" t="s">
        <v>150</v>
      </c>
      <c r="C118" s="99">
        <f>2*22</f>
        <v>44</v>
      </c>
      <c r="D118" s="151">
        <f>3*22</f>
        <v>66</v>
      </c>
      <c r="E118" s="589">
        <v>0.64</v>
      </c>
      <c r="F118" s="149">
        <f>C118*E118</f>
        <v>28.16</v>
      </c>
      <c r="G118" s="150">
        <f>D118*E118</f>
        <v>42.24</v>
      </c>
      <c r="AMJ118"/>
      <c r="AMK118"/>
    </row>
    <row r="119" spans="1:1025" ht="15" customHeight="1" x14ac:dyDescent="0.2">
      <c r="A119" s="112" t="s">
        <v>284</v>
      </c>
      <c r="B119" s="152" t="s">
        <v>150</v>
      </c>
      <c r="C119" s="99">
        <f>22</f>
        <v>22</v>
      </c>
      <c r="D119" s="99">
        <f>22</f>
        <v>22</v>
      </c>
      <c r="E119" s="589">
        <v>0.08</v>
      </c>
      <c r="F119" s="153">
        <f>C119*E119</f>
        <v>1.76</v>
      </c>
      <c r="G119" s="154">
        <f>D119*E119</f>
        <v>1.76</v>
      </c>
      <c r="AMJ119"/>
      <c r="AMK119"/>
    </row>
    <row r="120" spans="1:1025" s="123" customFormat="1" ht="56.25" customHeight="1" x14ac:dyDescent="0.2">
      <c r="A120" s="155" t="s">
        <v>118</v>
      </c>
      <c r="B120" s="156" t="s">
        <v>119</v>
      </c>
      <c r="C120" s="156" t="s">
        <v>285</v>
      </c>
      <c r="D120" s="156" t="s">
        <v>286</v>
      </c>
      <c r="E120" s="157" t="s">
        <v>265</v>
      </c>
      <c r="F120" s="158" t="s">
        <v>277</v>
      </c>
      <c r="G120" s="158" t="s">
        <v>278</v>
      </c>
    </row>
    <row r="121" spans="1:1025" ht="20.25" customHeight="1" x14ac:dyDescent="0.2">
      <c r="A121" s="827" t="s">
        <v>287</v>
      </c>
      <c r="B121" s="828"/>
      <c r="C121" s="828"/>
      <c r="D121" s="828"/>
      <c r="E121" s="829"/>
      <c r="F121" s="159">
        <f>SUM(F122:F125)</f>
        <v>6.11</v>
      </c>
      <c r="G121" s="159">
        <f>SUM(G122:G125)</f>
        <v>6.11</v>
      </c>
      <c r="AMJ121"/>
      <c r="AMK121"/>
    </row>
    <row r="122" spans="1:1025" ht="15" customHeight="1" x14ac:dyDescent="0.2">
      <c r="A122" s="111" t="s">
        <v>288</v>
      </c>
      <c r="B122" s="89" t="s">
        <v>150</v>
      </c>
      <c r="C122" s="148">
        <v>1</v>
      </c>
      <c r="D122" s="148">
        <v>1</v>
      </c>
      <c r="E122" s="589">
        <v>13.22</v>
      </c>
      <c r="F122" s="145">
        <f>(C122*E122)/12</f>
        <v>1.1016666666666668</v>
      </c>
      <c r="G122" s="145">
        <f>(D122*E122)/12</f>
        <v>1.1016666666666668</v>
      </c>
      <c r="AMJ122"/>
      <c r="AMK122"/>
    </row>
    <row r="123" spans="1:1025" ht="15" customHeight="1" x14ac:dyDescent="0.2">
      <c r="A123" s="111" t="s">
        <v>289</v>
      </c>
      <c r="B123" s="93" t="s">
        <v>170</v>
      </c>
      <c r="C123" s="147">
        <v>2</v>
      </c>
      <c r="D123" s="147">
        <v>2</v>
      </c>
      <c r="E123" s="589">
        <v>11.3</v>
      </c>
      <c r="F123" s="145">
        <f>(C123*E123)/12</f>
        <v>1.8833333333333335</v>
      </c>
      <c r="G123" s="145">
        <f>(D123*E123)/12</f>
        <v>1.8833333333333335</v>
      </c>
      <c r="AMJ123"/>
      <c r="AMK123"/>
    </row>
    <row r="124" spans="1:1025" ht="15" customHeight="1" x14ac:dyDescent="0.2">
      <c r="A124" s="621" t="s">
        <v>283</v>
      </c>
      <c r="B124" s="622" t="s">
        <v>150</v>
      </c>
      <c r="C124" s="622">
        <v>50</v>
      </c>
      <c r="D124" s="622">
        <v>50</v>
      </c>
      <c r="E124" s="623">
        <v>0.64</v>
      </c>
      <c r="F124" s="624">
        <f>(C124*E124)/12</f>
        <v>2.6666666666666665</v>
      </c>
      <c r="G124" s="624">
        <f>(D124*E124)/12</f>
        <v>2.6666666666666665</v>
      </c>
      <c r="AMJ124"/>
      <c r="AMK124"/>
    </row>
    <row r="125" spans="1:1025" ht="15" customHeight="1" x14ac:dyDescent="0.2">
      <c r="A125" s="111" t="s">
        <v>290</v>
      </c>
      <c r="B125" s="93" t="s">
        <v>150</v>
      </c>
      <c r="C125" s="147">
        <v>1</v>
      </c>
      <c r="D125" s="147">
        <v>1</v>
      </c>
      <c r="E125" s="583">
        <v>5.5</v>
      </c>
      <c r="F125" s="145">
        <f>(C125*E125)/12</f>
        <v>0.45833333333333331</v>
      </c>
      <c r="G125" s="145">
        <f>(D125*E125)/12</f>
        <v>0.45833333333333331</v>
      </c>
      <c r="AMJ125"/>
      <c r="AMK125"/>
    </row>
    <row r="126" spans="1:1025" x14ac:dyDescent="0.2">
      <c r="A126" s="104"/>
      <c r="B126" s="105"/>
      <c r="C126" s="105"/>
      <c r="D126" s="105"/>
      <c r="E126" s="105"/>
      <c r="F126" s="105"/>
      <c r="G126" s="105"/>
    </row>
    <row r="127" spans="1:1025" ht="12.75" customHeight="1" x14ac:dyDescent="0.2">
      <c r="A127" s="830" t="s">
        <v>291</v>
      </c>
      <c r="B127" s="830"/>
      <c r="C127" s="830"/>
      <c r="D127" s="830"/>
      <c r="E127" s="830"/>
      <c r="F127" s="830"/>
      <c r="G127" s="105"/>
    </row>
    <row r="128" spans="1:1025" ht="12.75" customHeight="1" x14ac:dyDescent="0.2">
      <c r="A128" s="160" t="s">
        <v>280</v>
      </c>
      <c r="B128" s="831" t="s">
        <v>292</v>
      </c>
      <c r="C128" s="831"/>
      <c r="D128" s="831"/>
      <c r="E128" s="831"/>
      <c r="F128" s="831"/>
      <c r="G128" s="105"/>
    </row>
    <row r="129" spans="1:10" ht="12.75" customHeight="1" x14ac:dyDescent="0.2">
      <c r="A129" s="160" t="s">
        <v>281</v>
      </c>
      <c r="B129" s="831" t="s">
        <v>293</v>
      </c>
      <c r="C129" s="831"/>
      <c r="D129" s="831"/>
      <c r="E129" s="831"/>
      <c r="F129" s="831"/>
      <c r="G129" s="105"/>
    </row>
    <row r="130" spans="1:10" ht="12.75" customHeight="1" x14ac:dyDescent="0.2">
      <c r="A130" s="160" t="s">
        <v>282</v>
      </c>
      <c r="B130" s="831" t="s">
        <v>294</v>
      </c>
      <c r="C130" s="831"/>
      <c r="D130" s="831"/>
      <c r="E130" s="831"/>
      <c r="F130" s="831"/>
      <c r="G130" s="105"/>
    </row>
    <row r="131" spans="1:10" ht="12.75" customHeight="1" x14ac:dyDescent="0.2">
      <c r="A131" s="160" t="s">
        <v>283</v>
      </c>
      <c r="B131" s="831" t="s">
        <v>295</v>
      </c>
      <c r="C131" s="831"/>
      <c r="D131" s="831"/>
      <c r="E131" s="831"/>
      <c r="F131" s="831"/>
      <c r="G131" s="105"/>
    </row>
    <row r="132" spans="1:10" ht="12.75" customHeight="1" x14ac:dyDescent="0.2">
      <c r="A132" s="160" t="s">
        <v>284</v>
      </c>
      <c r="B132" s="831" t="s">
        <v>292</v>
      </c>
      <c r="C132" s="831"/>
      <c r="D132" s="831"/>
      <c r="E132" s="831"/>
      <c r="F132" s="831"/>
      <c r="G132" s="105"/>
    </row>
    <row r="133" spans="1:10" ht="12.75" customHeight="1" x14ac:dyDescent="0.2">
      <c r="A133" s="160" t="s">
        <v>296</v>
      </c>
      <c r="B133" s="831" t="s">
        <v>297</v>
      </c>
      <c r="C133" s="831"/>
      <c r="D133" s="831"/>
      <c r="E133" s="831"/>
      <c r="F133" s="831"/>
      <c r="G133" s="105"/>
    </row>
    <row r="134" spans="1:10" ht="12.75" customHeight="1" x14ac:dyDescent="0.2">
      <c r="A134" s="160" t="s">
        <v>298</v>
      </c>
      <c r="B134" s="831" t="s">
        <v>299</v>
      </c>
      <c r="C134" s="831"/>
      <c r="D134" s="831"/>
      <c r="E134" s="831"/>
      <c r="F134" s="831"/>
      <c r="G134" s="105"/>
      <c r="H134" s="105"/>
      <c r="I134" s="105"/>
      <c r="J134" s="105"/>
    </row>
    <row r="135" spans="1:10" ht="12.75" customHeight="1" x14ac:dyDescent="0.2">
      <c r="A135" s="160" t="s">
        <v>300</v>
      </c>
      <c r="B135" s="831" t="s">
        <v>301</v>
      </c>
      <c r="C135" s="831"/>
      <c r="D135" s="831"/>
      <c r="E135" s="831"/>
      <c r="F135" s="831"/>
      <c r="G135" s="105"/>
      <c r="H135" s="105"/>
      <c r="I135" s="105"/>
      <c r="J135" s="105"/>
    </row>
    <row r="136" spans="1:10" x14ac:dyDescent="0.2">
      <c r="A136" s="104"/>
      <c r="B136" s="105"/>
      <c r="C136" s="105"/>
      <c r="D136" s="105"/>
      <c r="E136" s="105"/>
      <c r="F136" s="105"/>
      <c r="G136" s="105"/>
      <c r="H136" s="105"/>
      <c r="I136" s="105"/>
      <c r="J136" s="105"/>
    </row>
  </sheetData>
  <mergeCells count="19">
    <mergeCell ref="A127:F127"/>
    <mergeCell ref="B128:F128"/>
    <mergeCell ref="B129:F129"/>
    <mergeCell ref="B135:F135"/>
    <mergeCell ref="B130:F130"/>
    <mergeCell ref="B131:F131"/>
    <mergeCell ref="B132:F132"/>
    <mergeCell ref="B133:F133"/>
    <mergeCell ref="B134:F134"/>
    <mergeCell ref="A102:F102"/>
    <mergeCell ref="A110:E110"/>
    <mergeCell ref="A112:E112"/>
    <mergeCell ref="A114:E114"/>
    <mergeCell ref="A121:E121"/>
    <mergeCell ref="A1:F1"/>
    <mergeCell ref="A100:E100"/>
    <mergeCell ref="A98:E98"/>
    <mergeCell ref="A85:G85"/>
    <mergeCell ref="A61:F6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6000"/>
  </sheetPr>
  <dimension ref="A1:ALW45"/>
  <sheetViews>
    <sheetView showGridLines="0" tabSelected="1" zoomScale="80" zoomScaleNormal="80" workbookViewId="0">
      <pane xSplit="4" ySplit="5" topLeftCell="V27" activePane="bottomRight" state="frozen"/>
      <selection pane="topRight" activeCell="E1" sqref="E1"/>
      <selection pane="bottomLeft" activeCell="A6" sqref="A6"/>
      <selection pane="bottomRight" activeCell="AC44" sqref="AC44"/>
    </sheetView>
  </sheetViews>
  <sheetFormatPr defaultRowHeight="14.25" x14ac:dyDescent="0.2"/>
  <cols>
    <col min="1" max="1" width="6.875" customWidth="1"/>
    <col min="2" max="2" width="27.75" customWidth="1"/>
    <col min="3" max="3" width="59.25" customWidth="1"/>
    <col min="4" max="4" width="8.375" customWidth="1"/>
    <col min="5" max="5" width="11.375" customWidth="1"/>
    <col min="6" max="6" width="8" customWidth="1"/>
    <col min="7" max="7" width="8.5" customWidth="1"/>
    <col min="8" max="8" width="6.625" customWidth="1"/>
    <col min="9" max="9" width="7.875" customWidth="1"/>
    <col min="10" max="10" width="7.375" customWidth="1"/>
    <col min="11" max="11" width="9.25" customWidth="1"/>
    <col min="12" max="12" width="8.75" customWidth="1"/>
    <col min="13" max="13" width="8.25" customWidth="1"/>
    <col min="14" max="14" width="6.875" customWidth="1"/>
    <col min="15" max="15" width="9.375" customWidth="1"/>
    <col min="16" max="16" width="7.375" customWidth="1"/>
    <col min="17" max="17" width="8.625" customWidth="1"/>
    <col min="18" max="18" width="6.875" customWidth="1"/>
    <col min="19" max="19" width="9.125" customWidth="1"/>
    <col min="20" max="20" width="7.375" customWidth="1"/>
    <col min="21" max="21" width="9.125" customWidth="1"/>
    <col min="22" max="22" width="12.75" customWidth="1"/>
    <col min="23" max="23" width="8.875" customWidth="1"/>
    <col min="24" max="24" width="7.25" customWidth="1"/>
    <col min="25" max="25" width="12.375" customWidth="1"/>
    <col min="26" max="26" width="14.375" customWidth="1"/>
    <col min="27" max="29" width="12.375" customWidth="1"/>
    <col min="30" max="1001" width="10.625" customWidth="1"/>
    <col min="1002" max="1002" width="8.375" customWidth="1"/>
    <col min="1003" max="1012" width="10.5" customWidth="1"/>
  </cols>
  <sheetData>
    <row r="1" spans="1:29" ht="23.25" x14ac:dyDescent="0.2">
      <c r="A1" s="832" t="s">
        <v>302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832"/>
      <c r="P1" s="832"/>
      <c r="Q1" s="832"/>
      <c r="R1" s="832"/>
      <c r="S1" s="832"/>
      <c r="T1" s="832"/>
      <c r="U1" s="832"/>
      <c r="V1" s="832"/>
      <c r="W1" s="832"/>
      <c r="X1" s="832"/>
      <c r="Y1" s="832"/>
      <c r="Z1" s="832"/>
      <c r="AA1" s="832"/>
      <c r="AB1" s="832"/>
      <c r="AC1" s="832"/>
    </row>
    <row r="2" spans="1:29" ht="15" customHeight="1" x14ac:dyDescent="0.2">
      <c r="A2" s="833" t="s">
        <v>119</v>
      </c>
      <c r="B2" s="833"/>
      <c r="C2" s="161"/>
      <c r="D2" s="161"/>
      <c r="E2" s="834" t="s">
        <v>303</v>
      </c>
      <c r="F2" s="834"/>
      <c r="G2" s="834"/>
      <c r="H2" s="834"/>
      <c r="I2" s="834"/>
      <c r="J2" s="834"/>
      <c r="K2" s="834"/>
      <c r="L2" s="834"/>
      <c r="M2" s="835" t="s">
        <v>304</v>
      </c>
      <c r="N2" s="835"/>
      <c r="O2" s="835"/>
      <c r="P2" s="835"/>
      <c r="Q2" s="835"/>
      <c r="R2" s="835"/>
      <c r="S2" s="836" t="s">
        <v>305</v>
      </c>
      <c r="T2" s="836"/>
      <c r="U2" s="836"/>
      <c r="V2" s="836"/>
      <c r="W2" s="836"/>
      <c r="X2" s="836"/>
      <c r="Y2" s="162" t="s">
        <v>306</v>
      </c>
      <c r="Z2" s="163" t="s">
        <v>307</v>
      </c>
      <c r="AA2" s="162" t="s">
        <v>308</v>
      </c>
      <c r="AB2" s="162" t="s">
        <v>309</v>
      </c>
      <c r="AC2" s="724" t="s">
        <v>310</v>
      </c>
    </row>
    <row r="3" spans="1:29" ht="59.25" customHeight="1" x14ac:dyDescent="0.2">
      <c r="A3" s="838" t="s">
        <v>311</v>
      </c>
      <c r="B3" s="839" t="s">
        <v>312</v>
      </c>
      <c r="C3" s="164"/>
      <c r="D3" s="840" t="s">
        <v>313</v>
      </c>
      <c r="E3" s="841" t="s">
        <v>314</v>
      </c>
      <c r="F3" s="841"/>
      <c r="G3" s="842" t="s">
        <v>315</v>
      </c>
      <c r="H3" s="842"/>
      <c r="I3" s="842" t="s">
        <v>316</v>
      </c>
      <c r="J3" s="842"/>
      <c r="K3" s="842" t="s">
        <v>317</v>
      </c>
      <c r="L3" s="842"/>
      <c r="M3" s="837" t="s">
        <v>318</v>
      </c>
      <c r="N3" s="837"/>
      <c r="O3" s="854" t="s">
        <v>319</v>
      </c>
      <c r="P3" s="854"/>
      <c r="Q3" s="837" t="s">
        <v>320</v>
      </c>
      <c r="R3" s="837"/>
      <c r="S3" s="850" t="s">
        <v>321</v>
      </c>
      <c r="T3" s="850"/>
      <c r="U3" s="850" t="s">
        <v>322</v>
      </c>
      <c r="V3" s="850"/>
      <c r="W3" s="851" t="s">
        <v>323</v>
      </c>
      <c r="X3" s="851"/>
      <c r="Y3" s="852" t="s">
        <v>324</v>
      </c>
      <c r="Z3" s="853" t="s">
        <v>325</v>
      </c>
      <c r="AA3" s="845" t="s">
        <v>326</v>
      </c>
      <c r="AB3" s="846" t="s">
        <v>327</v>
      </c>
      <c r="AC3" s="847" t="s">
        <v>328</v>
      </c>
    </row>
    <row r="4" spans="1:29" ht="15" customHeight="1" x14ac:dyDescent="0.2">
      <c r="A4" s="838"/>
      <c r="B4" s="839"/>
      <c r="C4" s="169"/>
      <c r="D4" s="840"/>
      <c r="E4" s="841"/>
      <c r="F4" s="841"/>
      <c r="G4" s="842"/>
      <c r="H4" s="842"/>
      <c r="I4" s="842"/>
      <c r="J4" s="842"/>
      <c r="K4" s="842"/>
      <c r="L4" s="842"/>
      <c r="M4" s="837"/>
      <c r="N4" s="837"/>
      <c r="O4" s="854"/>
      <c r="P4" s="854"/>
      <c r="Q4" s="837"/>
      <c r="R4" s="837"/>
      <c r="S4" s="850"/>
      <c r="T4" s="850"/>
      <c r="U4" s="850"/>
      <c r="V4" s="850"/>
      <c r="W4" s="851"/>
      <c r="X4" s="851"/>
      <c r="Y4" s="852"/>
      <c r="Z4" s="853"/>
      <c r="AA4" s="845"/>
      <c r="AB4" s="846"/>
      <c r="AC4" s="848"/>
    </row>
    <row r="5" spans="1:29" x14ac:dyDescent="0.2">
      <c r="A5" s="838"/>
      <c r="B5" s="839"/>
      <c r="C5" s="170"/>
      <c r="D5" s="840"/>
      <c r="E5" s="171" t="s">
        <v>329</v>
      </c>
      <c r="F5" s="172" t="s">
        <v>330</v>
      </c>
      <c r="G5" s="165" t="s">
        <v>329</v>
      </c>
      <c r="H5" s="166" t="s">
        <v>330</v>
      </c>
      <c r="I5" s="165" t="s">
        <v>329</v>
      </c>
      <c r="J5" s="166" t="s">
        <v>330</v>
      </c>
      <c r="K5" s="165" t="s">
        <v>329</v>
      </c>
      <c r="L5" s="166" t="s">
        <v>330</v>
      </c>
      <c r="M5" s="167" t="s">
        <v>329</v>
      </c>
      <c r="N5" s="167" t="s">
        <v>330</v>
      </c>
      <c r="O5" s="167" t="s">
        <v>329</v>
      </c>
      <c r="P5" s="167" t="s">
        <v>330</v>
      </c>
      <c r="Q5" s="167" t="s">
        <v>329</v>
      </c>
      <c r="R5" s="167" t="s">
        <v>330</v>
      </c>
      <c r="S5" s="168" t="s">
        <v>329</v>
      </c>
      <c r="T5" s="168" t="s">
        <v>330</v>
      </c>
      <c r="U5" s="168" t="s">
        <v>329</v>
      </c>
      <c r="V5" s="168" t="s">
        <v>330</v>
      </c>
      <c r="W5" s="168" t="s">
        <v>329</v>
      </c>
      <c r="X5" s="173" t="s">
        <v>330</v>
      </c>
      <c r="Y5" s="174" t="s">
        <v>331</v>
      </c>
      <c r="Z5" s="175" t="s">
        <v>331</v>
      </c>
      <c r="AA5" s="176" t="s">
        <v>331</v>
      </c>
      <c r="AB5" s="177" t="s">
        <v>331</v>
      </c>
      <c r="AC5" s="717" t="s">
        <v>331</v>
      </c>
    </row>
    <row r="6" spans="1:29" x14ac:dyDescent="0.2">
      <c r="A6" s="178">
        <v>1</v>
      </c>
      <c r="B6" s="178" t="s">
        <v>83</v>
      </c>
      <c r="C6" s="178" t="s">
        <v>332</v>
      </c>
      <c r="D6" s="179">
        <f>MC!C69</f>
        <v>0.02</v>
      </c>
      <c r="E6" s="180">
        <v>995</v>
      </c>
      <c r="F6" s="181">
        <f>'GEXCHA Limp.Ord. '!D141</f>
        <v>6.1523460489961552</v>
      </c>
      <c r="G6" s="182">
        <v>155</v>
      </c>
      <c r="H6" s="181">
        <f>'GEXCHA Limp.Ord. '!D146</f>
        <v>2.7685557220482697</v>
      </c>
      <c r="I6" s="182">
        <v>5</v>
      </c>
      <c r="J6" s="181">
        <f>'GEXCHA Limp.Ord. '!D151</f>
        <v>4.2593164954588767</v>
      </c>
      <c r="K6" s="182">
        <v>32</v>
      </c>
      <c r="L6" s="181">
        <f>'GEXCHA Limp.Ord. '!D156</f>
        <v>18.457038146988467</v>
      </c>
      <c r="M6" s="182">
        <v>27</v>
      </c>
      <c r="N6" s="181">
        <f>'GEXCHA Limp.Ord. '!D161</f>
        <v>2.0507820163320516</v>
      </c>
      <c r="O6" s="182">
        <v>1817</v>
      </c>
      <c r="P6" s="181">
        <f>'GEXCHA Limp.Ord. '!D163</f>
        <v>5.5371114440965395E-2</v>
      </c>
      <c r="Q6" s="182">
        <v>692</v>
      </c>
      <c r="R6" s="181">
        <f>'GEXCHA Limp.Ord. '!D165</f>
        <v>0.61523460489961557</v>
      </c>
      <c r="S6" s="182">
        <v>82</v>
      </c>
      <c r="T6" s="183">
        <f>'GEXCHA Limp.Ord. '!D171</f>
        <v>0.32216554194296959</v>
      </c>
      <c r="U6" s="182">
        <v>172</v>
      </c>
      <c r="V6" s="183">
        <f>'GEXCHA Limp.Ord. '!D173</f>
        <v>1.2351215007855232</v>
      </c>
      <c r="W6" s="184">
        <v>254</v>
      </c>
      <c r="X6" s="183">
        <f>'GEXCHA Limp.Ord. '!D175</f>
        <v>1.2351215007855232</v>
      </c>
      <c r="Y6" s="185">
        <f t="shared" ref="Y6:Y22" si="0">(E6*F6)+(G6*H6)+(I6*J6)+(K6*L6)+(M6*N6)+(O6*P6)+(Q6*R6)+(S6*T6)+(U6*V6)+(W6*X6)</f>
        <v>8296.9343685942731</v>
      </c>
      <c r="Z6" s="186"/>
      <c r="AA6" s="187">
        <f>'Prod. GEXCHA'!R4*'GEXCHA Limp.Ord. '!C133</f>
        <v>75.506065146770993</v>
      </c>
      <c r="AB6" s="720">
        <f>'Prod. GEXCHA'!S4*'GEXCHA Covid  '!C133</f>
        <v>74.283987987542105</v>
      </c>
      <c r="AC6" s="718">
        <f>'Prod. GEXCHA'!T4*MC!C15</f>
        <v>2383.8999999999996</v>
      </c>
    </row>
    <row r="7" spans="1:29" x14ac:dyDescent="0.2">
      <c r="A7" s="189">
        <v>2</v>
      </c>
      <c r="B7" s="189" t="s">
        <v>85</v>
      </c>
      <c r="C7" s="189" t="s">
        <v>333</v>
      </c>
      <c r="D7" s="190">
        <f>MC!C70</f>
        <v>0.02</v>
      </c>
      <c r="E7" s="180">
        <v>577</v>
      </c>
      <c r="F7" s="191">
        <f>'GEXCHA Limp.Ord. '!D141</f>
        <v>6.1523460489961552</v>
      </c>
      <c r="G7" s="182">
        <v>577</v>
      </c>
      <c r="H7" s="191">
        <f>'GEXCHA Limp.Ord. '!D146</f>
        <v>2.7685557220482697</v>
      </c>
      <c r="I7" s="182">
        <v>542</v>
      </c>
      <c r="J7" s="191">
        <f>'GEXCHA Limp.Ord. '!D151</f>
        <v>4.2593164954588767</v>
      </c>
      <c r="K7" s="182">
        <v>80</v>
      </c>
      <c r="L7" s="191">
        <f>'GEXCHA Limp.Ord. '!D156</f>
        <v>18.457038146988467</v>
      </c>
      <c r="M7" s="182">
        <v>14</v>
      </c>
      <c r="N7" s="191">
        <f>'GEXCHA Limp.Ord. '!D161</f>
        <v>2.0507820163320516</v>
      </c>
      <c r="O7" s="182">
        <v>0</v>
      </c>
      <c r="P7" s="191">
        <f>'GEXCHA Limp.Ord. '!D163</f>
        <v>5.5371114440965395E-2</v>
      </c>
      <c r="Q7" s="182">
        <v>0</v>
      </c>
      <c r="R7" s="191">
        <f>'GEXCHA Limp.Ord. '!D165</f>
        <v>0.61523460489961557</v>
      </c>
      <c r="S7" s="182">
        <v>204</v>
      </c>
      <c r="T7" s="192">
        <f>'GEXCHA Limp.Ord. '!D171</f>
        <v>0.32216554194296959</v>
      </c>
      <c r="U7" s="182">
        <v>291</v>
      </c>
      <c r="V7" s="192">
        <f>'GEXCHA Limp.Ord. '!D173</f>
        <v>1.2351215007855232</v>
      </c>
      <c r="W7" s="184">
        <v>495</v>
      </c>
      <c r="X7" s="192">
        <f>'GEXCHA Limp.Ord. '!D175</f>
        <v>1.2351215007855232</v>
      </c>
      <c r="Y7" s="185">
        <f t="shared" si="0"/>
        <v>9997.7111325928581</v>
      </c>
      <c r="Z7" s="186"/>
      <c r="AA7" s="193">
        <f>'Prod. GEXCHA'!R5*'GEXCHA Limp.Ord. '!C133</f>
        <v>75.506065146770993</v>
      </c>
      <c r="AB7" s="721">
        <f>'Prod. GEXCHA'!S5*'GEXCHA Covid  '!C133</f>
        <v>74.283987987542105</v>
      </c>
      <c r="AC7" s="631"/>
    </row>
    <row r="8" spans="1:29" x14ac:dyDescent="0.2">
      <c r="A8" s="189">
        <v>3</v>
      </c>
      <c r="B8" s="189" t="s">
        <v>87</v>
      </c>
      <c r="C8" s="189" t="s">
        <v>334</v>
      </c>
      <c r="D8" s="190">
        <f>MC!C71</f>
        <v>0.02</v>
      </c>
      <c r="E8" s="180">
        <v>694</v>
      </c>
      <c r="F8" s="191">
        <f>'GEXCHA Limp.Ord. '!D141</f>
        <v>6.1523460489961552</v>
      </c>
      <c r="G8" s="182">
        <v>817</v>
      </c>
      <c r="H8" s="191">
        <f>'GEXCHA Limp.Ord. '!D146</f>
        <v>2.7685557220482697</v>
      </c>
      <c r="I8" s="182">
        <v>1420</v>
      </c>
      <c r="J8" s="191">
        <f>'GEXCHA Limp.Ord. '!D151</f>
        <v>4.2593164954588767</v>
      </c>
      <c r="K8" s="182">
        <v>76</v>
      </c>
      <c r="L8" s="191">
        <f>'GEXCHA Limp.Ord. '!D156</f>
        <v>18.457038146988467</v>
      </c>
      <c r="M8" s="182">
        <v>50</v>
      </c>
      <c r="N8" s="191">
        <f>'GEXCHA Limp.Ord. '!D161</f>
        <v>2.0507820163320516</v>
      </c>
      <c r="O8" s="182">
        <v>110</v>
      </c>
      <c r="P8" s="191">
        <f>'GEXCHA Limp.Ord. '!D163</f>
        <v>5.5371114440965395E-2</v>
      </c>
      <c r="Q8" s="182">
        <v>96</v>
      </c>
      <c r="R8" s="191">
        <f>'GEXCHA Limp.Ord. '!D165</f>
        <v>0.61523460489961557</v>
      </c>
      <c r="S8" s="182">
        <v>102</v>
      </c>
      <c r="T8" s="192">
        <f>'GEXCHA Limp.Ord. '!D171</f>
        <v>0.32216554194296959</v>
      </c>
      <c r="U8" s="182">
        <v>546</v>
      </c>
      <c r="V8" s="192">
        <f>'GEXCHA Limp.Ord. '!D173</f>
        <v>1.2351215007855232</v>
      </c>
      <c r="W8" s="184">
        <v>648</v>
      </c>
      <c r="X8" s="192">
        <f>'GEXCHA Limp.Ord. '!D175</f>
        <v>1.2351215007855232</v>
      </c>
      <c r="Y8" s="185">
        <f t="shared" si="0"/>
        <v>15657.890908331066</v>
      </c>
      <c r="Z8" s="186">
        <f>'Prod. GEXCHA'!Q6*'GEXCHA Covid  '!C129</f>
        <v>5447.492452419755</v>
      </c>
      <c r="AA8" s="193">
        <f>'Prod. GEXCHA'!R6*'GEXCHA Limp.Ord. '!C133</f>
        <v>75.506065146770993</v>
      </c>
      <c r="AB8" s="721">
        <f>'Prod. GEXCHA'!S6*'GEXCHA Covid  '!C133</f>
        <v>74.283987987542105</v>
      </c>
      <c r="AC8" s="631"/>
    </row>
    <row r="9" spans="1:29" x14ac:dyDescent="0.2">
      <c r="A9" s="189">
        <v>4</v>
      </c>
      <c r="B9" s="189" t="s">
        <v>89</v>
      </c>
      <c r="C9" s="189" t="s">
        <v>335</v>
      </c>
      <c r="D9" s="190">
        <f>MC!C72</f>
        <v>0.03</v>
      </c>
      <c r="E9" s="180">
        <v>658</v>
      </c>
      <c r="F9" s="191">
        <f>'GEXCHA Limp.Ord. '!F141</f>
        <v>6.2224582546827207</v>
      </c>
      <c r="G9" s="182">
        <v>93</v>
      </c>
      <c r="H9" s="191">
        <f>'GEXCHA Limp.Ord. '!F146</f>
        <v>2.8001062146072244</v>
      </c>
      <c r="I9" s="182">
        <v>0</v>
      </c>
      <c r="J9" s="191">
        <f>'GEXCHA Limp.Ord. '!F151</f>
        <v>4.3078557147803451</v>
      </c>
      <c r="K9" s="182">
        <v>83</v>
      </c>
      <c r="L9" s="191">
        <f>'GEXCHA Limp.Ord. '!F156</f>
        <v>18.667374764048166</v>
      </c>
      <c r="M9" s="182">
        <v>63</v>
      </c>
      <c r="N9" s="191">
        <f>'GEXCHA Limp.Ord. '!F161</f>
        <v>2.0741527515609071</v>
      </c>
      <c r="O9" s="182">
        <v>126</v>
      </c>
      <c r="P9" s="191">
        <f>'GEXCHA Limp.Ord. '!F163</f>
        <v>5.6002124292144496E-2</v>
      </c>
      <c r="Q9" s="182">
        <v>0</v>
      </c>
      <c r="R9" s="191">
        <f>'GEXCHA Limp.Ord. '!F165</f>
        <v>0.62224582546827212</v>
      </c>
      <c r="S9" s="182">
        <v>136</v>
      </c>
      <c r="T9" s="192">
        <f>'GEXCHA Limp.Ord. '!F171</f>
        <v>0.32583694413035386</v>
      </c>
      <c r="U9" s="182">
        <v>10</v>
      </c>
      <c r="V9" s="192">
        <f>'GEXCHA Limp.Ord. '!F173</f>
        <v>1.2491969594839338</v>
      </c>
      <c r="W9" s="184">
        <v>146</v>
      </c>
      <c r="X9" s="192">
        <f>'GEXCHA Limp.Ord. '!F175</f>
        <v>1.2491969594839338</v>
      </c>
      <c r="Y9" s="185">
        <f t="shared" si="0"/>
        <v>6281.0959560460697</v>
      </c>
      <c r="Z9" s="186">
        <f>'Prod. GEXCHA'!P7*'GEXCHA Covid  '!D130</f>
        <v>4650.2537573832105</v>
      </c>
      <c r="AA9" s="193">
        <f>'Prod. GEXCHA'!R7*'GEXCHA Limp.Ord. '!C134</f>
        <v>76.366533125651586</v>
      </c>
      <c r="AB9" s="721">
        <f>'Prod. GEXCHA'!S7*'GEXCHA Covid  '!C134</f>
        <v>75.130529161189315</v>
      </c>
      <c r="AC9" s="631"/>
    </row>
    <row r="10" spans="1:29" x14ac:dyDescent="0.2">
      <c r="A10" s="189">
        <v>5</v>
      </c>
      <c r="B10" s="189" t="s">
        <v>91</v>
      </c>
      <c r="C10" s="189" t="s">
        <v>336</v>
      </c>
      <c r="D10" s="190">
        <f>MC!C73</f>
        <v>0.03</v>
      </c>
      <c r="E10" s="180">
        <v>707</v>
      </c>
      <c r="F10" s="191">
        <f>'GEXCHA Limp.Ord. '!F141</f>
        <v>6.2224582546827207</v>
      </c>
      <c r="G10" s="182">
        <v>299</v>
      </c>
      <c r="H10" s="191">
        <f>'GEXCHA Limp.Ord. '!F146</f>
        <v>2.8001062146072244</v>
      </c>
      <c r="I10" s="182">
        <v>800</v>
      </c>
      <c r="J10" s="191">
        <f>'GEXCHA Limp.Ord. '!F151</f>
        <v>4.3078557147803451</v>
      </c>
      <c r="K10" s="182">
        <v>47</v>
      </c>
      <c r="L10" s="191">
        <f>'GEXCHA Limp.Ord. '!F156</f>
        <v>18.667374764048166</v>
      </c>
      <c r="M10" s="182">
        <v>0</v>
      </c>
      <c r="N10" s="191">
        <f>'GEXCHA Limp.Ord. '!F161</f>
        <v>2.0741527515609071</v>
      </c>
      <c r="O10" s="182">
        <v>0</v>
      </c>
      <c r="P10" s="191">
        <f>'GEXCHA Limp.Ord. '!F163</f>
        <v>5.6002124292144496E-2</v>
      </c>
      <c r="Q10" s="182">
        <v>71</v>
      </c>
      <c r="R10" s="191">
        <f>'GEXCHA Limp.Ord. '!F165</f>
        <v>0.62224582546827212</v>
      </c>
      <c r="S10" s="182">
        <v>86</v>
      </c>
      <c r="T10" s="192">
        <f>'GEXCHA Limp.Ord. '!F171</f>
        <v>0.32583694413035386</v>
      </c>
      <c r="U10" s="182">
        <v>85</v>
      </c>
      <c r="V10" s="192">
        <f>'GEXCHA Limp.Ord. '!F173</f>
        <v>1.2491969594839338</v>
      </c>
      <c r="W10" s="184">
        <v>171</v>
      </c>
      <c r="X10" s="192">
        <f>'GEXCHA Limp.Ord. '!F175</f>
        <v>1.2491969594839338</v>
      </c>
      <c r="Y10" s="185">
        <f t="shared" si="0"/>
        <v>9952.1567823941277</v>
      </c>
      <c r="Z10" s="186">
        <f>'Prod. GEXCHA'!Q8*'GEXCHA Covid  '!C130</f>
        <v>5509.5721384872159</v>
      </c>
      <c r="AA10" s="193">
        <f>'Prod. GEXCHA'!R8*'GEXCHA Limp.Ord. '!C134</f>
        <v>76.366533125651586</v>
      </c>
      <c r="AB10" s="721">
        <f>'Prod. GEXCHA'!S8*'GEXCHA Covid  '!C134</f>
        <v>75.130529161189315</v>
      </c>
      <c r="AC10" s="631"/>
    </row>
    <row r="11" spans="1:29" x14ac:dyDescent="0.2">
      <c r="A11" s="189">
        <v>6</v>
      </c>
      <c r="B11" s="189" t="s">
        <v>337</v>
      </c>
      <c r="C11" s="189" t="s">
        <v>338</v>
      </c>
      <c r="D11" s="190">
        <f>MC!C74</f>
        <v>0.05</v>
      </c>
      <c r="E11" s="180">
        <v>396</v>
      </c>
      <c r="F11" s="191">
        <f>'GEXCHA Limp.Ord. '!J141</f>
        <v>6.3675884763662829</v>
      </c>
      <c r="G11" s="182">
        <v>74</v>
      </c>
      <c r="H11" s="191">
        <f>'GEXCHA Limp.Ord. '!J146</f>
        <v>2.865414814364827</v>
      </c>
      <c r="I11" s="182">
        <v>398</v>
      </c>
      <c r="J11" s="191">
        <f>'GEXCHA Limp.Ord. '!J151</f>
        <v>4.4083304836381956</v>
      </c>
      <c r="K11" s="182">
        <v>51</v>
      </c>
      <c r="L11" s="191">
        <f>'GEXCHA Limp.Ord. '!J156</f>
        <v>19.102765429098849</v>
      </c>
      <c r="M11" s="182">
        <v>54</v>
      </c>
      <c r="N11" s="191">
        <f>'GEXCHA Limp.Ord. '!J161</f>
        <v>2.1225294921220943</v>
      </c>
      <c r="O11" s="182">
        <v>263</v>
      </c>
      <c r="P11" s="191">
        <f>'GEXCHA Limp.Ord. '!J163</f>
        <v>5.7308296287296549E-2</v>
      </c>
      <c r="Q11" s="182">
        <v>139</v>
      </c>
      <c r="R11" s="191">
        <f>'GEXCHA Limp.Ord. '!J165</f>
        <v>0.63675884763662827</v>
      </c>
      <c r="S11" s="182">
        <v>0</v>
      </c>
      <c r="T11" s="192">
        <f>'GEXCHA Limp.Ord. '!J171</f>
        <v>0.33343663962027464</v>
      </c>
      <c r="U11" s="182">
        <v>80</v>
      </c>
      <c r="V11" s="192">
        <f>'GEXCHA Limp.Ord. '!J173</f>
        <v>1.278332748626416</v>
      </c>
      <c r="W11" s="184">
        <v>80</v>
      </c>
      <c r="X11" s="192">
        <f>'GEXCHA Limp.Ord. '!J175</f>
        <v>1.278332748626416</v>
      </c>
      <c r="Y11" s="185">
        <f t="shared" si="0"/>
        <v>5885.0936963759586</v>
      </c>
      <c r="Z11" s="186">
        <f>'Prod. GEXCHA'!P9*'GEXCHA Covid  '!D132</f>
        <v>4758.7144864183874</v>
      </c>
      <c r="AA11" s="193">
        <f>'Prod. GEXCHA'!R9*'GEXCHA Limp.Ord. '!C136</f>
        <v>78.147676755404376</v>
      </c>
      <c r="AB11" s="721">
        <f>'Prod. GEXCHA'!S9*'GEXCHA Covid  '!C136</f>
        <v>76.882844710138329</v>
      </c>
      <c r="AC11" s="631"/>
    </row>
    <row r="12" spans="1:29" x14ac:dyDescent="0.2">
      <c r="A12" s="189">
        <v>7</v>
      </c>
      <c r="B12" s="189" t="s">
        <v>95</v>
      </c>
      <c r="C12" s="189" t="s">
        <v>339</v>
      </c>
      <c r="D12" s="190">
        <f>MC!C75</f>
        <v>0.03</v>
      </c>
      <c r="E12" s="180">
        <v>524</v>
      </c>
      <c r="F12" s="191">
        <f>'GEXCHA Limp.Ord. '!F141</f>
        <v>6.2224582546827207</v>
      </c>
      <c r="G12" s="182">
        <v>97</v>
      </c>
      <c r="H12" s="191">
        <f>'GEXCHA Limp.Ord. '!F146</f>
        <v>2.8001062146072244</v>
      </c>
      <c r="I12" s="182">
        <v>288</v>
      </c>
      <c r="J12" s="191">
        <f>'GEXCHA Limp.Ord. '!F151</f>
        <v>4.3078557147803451</v>
      </c>
      <c r="K12" s="182">
        <v>54</v>
      </c>
      <c r="L12" s="191">
        <f>'GEXCHA Limp.Ord. '!F156</f>
        <v>18.667374764048166</v>
      </c>
      <c r="M12" s="182">
        <v>167</v>
      </c>
      <c r="N12" s="191">
        <f>'GEXCHA Limp.Ord. '!F161</f>
        <v>2.0741527515609071</v>
      </c>
      <c r="O12" s="182">
        <v>244</v>
      </c>
      <c r="P12" s="191">
        <f>'GEXCHA Limp.Ord. '!F163</f>
        <v>5.6002124292144496E-2</v>
      </c>
      <c r="Q12" s="182">
        <v>344</v>
      </c>
      <c r="R12" s="191">
        <f>'GEXCHA Limp.Ord. '!F165</f>
        <v>0.62224582546827212</v>
      </c>
      <c r="S12" s="182">
        <v>0</v>
      </c>
      <c r="T12" s="192">
        <f>'GEXCHA Limp.Ord. '!F171</f>
        <v>0.32583694413035386</v>
      </c>
      <c r="U12" s="182">
        <v>182</v>
      </c>
      <c r="V12" s="192">
        <f>'GEXCHA Limp.Ord. '!F173</f>
        <v>1.2491969594839338</v>
      </c>
      <c r="W12" s="184">
        <v>182</v>
      </c>
      <c r="X12" s="192">
        <f>'GEXCHA Limp.Ord. '!F175</f>
        <v>1.2491969594839338</v>
      </c>
      <c r="Y12" s="185">
        <f t="shared" si="0"/>
        <v>6809.6873964371798</v>
      </c>
      <c r="Z12" s="186"/>
      <c r="AA12" s="193">
        <f>'Prod. GEXCHA'!R10*'GEXCHA Limp.Ord. '!C134</f>
        <v>76.366533125651586</v>
      </c>
      <c r="AB12" s="721">
        <f>'Prod. GEXCHA'!S10*'GEXCHA Covid  '!C134</f>
        <v>75.130529161189315</v>
      </c>
      <c r="AC12" s="631"/>
    </row>
    <row r="13" spans="1:29" x14ac:dyDescent="0.2">
      <c r="A13" s="189">
        <v>8</v>
      </c>
      <c r="B13" s="189" t="s">
        <v>97</v>
      </c>
      <c r="C13" s="189" t="s">
        <v>340</v>
      </c>
      <c r="D13" s="190">
        <f>MC!C76</f>
        <v>0.04</v>
      </c>
      <c r="E13" s="180">
        <v>661</v>
      </c>
      <c r="F13" s="191">
        <f>'GEXCHA Limp.Ord. '!H141</f>
        <v>6.2941868800969303</v>
      </c>
      <c r="G13" s="182">
        <v>290</v>
      </c>
      <c r="H13" s="191">
        <f>'GEXCHA Limp.Ord. '!H146</f>
        <v>2.8323840960436186</v>
      </c>
      <c r="I13" s="182">
        <v>1237</v>
      </c>
      <c r="J13" s="191">
        <f>'GEXCHA Limp.Ord. '!H151</f>
        <v>4.3575139939132592</v>
      </c>
      <c r="K13" s="182">
        <v>65</v>
      </c>
      <c r="L13" s="191">
        <f>'GEXCHA Limp.Ord. '!H156</f>
        <v>18.882560640290791</v>
      </c>
      <c r="M13" s="182">
        <v>196</v>
      </c>
      <c r="N13" s="191">
        <f>'GEXCHA Limp.Ord. '!H161</f>
        <v>2.0980622933656434</v>
      </c>
      <c r="O13" s="182">
        <v>93</v>
      </c>
      <c r="P13" s="191">
        <f>'GEXCHA Limp.Ord. '!H163</f>
        <v>5.6647681920872377E-2</v>
      </c>
      <c r="Q13" s="182">
        <v>824</v>
      </c>
      <c r="R13" s="191">
        <f>'GEXCHA Limp.Ord. '!H165</f>
        <v>0.62941868800969303</v>
      </c>
      <c r="S13" s="182">
        <v>129</v>
      </c>
      <c r="T13" s="192">
        <f>'GEXCHA Limp.Ord. '!H171</f>
        <v>0.32959298959583344</v>
      </c>
      <c r="U13" s="182">
        <v>5</v>
      </c>
      <c r="V13" s="192">
        <f>'GEXCHA Limp.Ord. '!H173</f>
        <v>1.2635969244347571</v>
      </c>
      <c r="W13" s="184">
        <v>134</v>
      </c>
      <c r="X13" s="192">
        <f>'GEXCHA Limp.Ord. '!H175</f>
        <v>1.2635969244347571</v>
      </c>
      <c r="Y13" s="185">
        <f t="shared" si="0"/>
        <v>12752.747078678913</v>
      </c>
      <c r="Z13" s="186">
        <f>'Prod. GEXCHA'!P11*'GEXCHA Covid  '!D131</f>
        <v>4703.8589880158706</v>
      </c>
      <c r="AA13" s="193">
        <f>'Prod. GEXCHA'!R11*'GEXCHA Limp.Ord. '!C135</f>
        <v>77.246838983007791</v>
      </c>
      <c r="AB13" s="721">
        <f>'Prod. GEXCHA'!S11*'GEXCHA Covid  '!C135</f>
        <v>75.996587134228974</v>
      </c>
      <c r="AC13" s="631"/>
    </row>
    <row r="14" spans="1:29" x14ac:dyDescent="0.2">
      <c r="A14" s="189">
        <v>9</v>
      </c>
      <c r="B14" s="189" t="s">
        <v>99</v>
      </c>
      <c r="C14" s="189" t="s">
        <v>341</v>
      </c>
      <c r="D14" s="190">
        <f>MC!C77</f>
        <v>0.02</v>
      </c>
      <c r="E14" s="180">
        <v>498</v>
      </c>
      <c r="F14" s="191">
        <f>'GEXCHA Limp.Ord. '!D141</f>
        <v>6.1523460489961552</v>
      </c>
      <c r="G14" s="182">
        <v>687</v>
      </c>
      <c r="H14" s="191">
        <f>'GEXCHA Limp.Ord. '!D146</f>
        <v>2.7685557220482697</v>
      </c>
      <c r="I14" s="182">
        <v>536</v>
      </c>
      <c r="J14" s="191">
        <f>'GEXCHA Limp.Ord. '!D151</f>
        <v>4.2593164954588767</v>
      </c>
      <c r="K14" s="182">
        <v>97</v>
      </c>
      <c r="L14" s="191">
        <f>'GEXCHA Limp.Ord. '!D156</f>
        <v>18.457038146988467</v>
      </c>
      <c r="M14" s="182">
        <v>71</v>
      </c>
      <c r="N14" s="191">
        <f>'GEXCHA Limp.Ord. '!D161</f>
        <v>2.0507820163320516</v>
      </c>
      <c r="O14" s="182">
        <v>0</v>
      </c>
      <c r="P14" s="191">
        <f>'GEXCHA Limp.Ord. '!D163</f>
        <v>5.5371114440965395E-2</v>
      </c>
      <c r="Q14" s="182">
        <v>323</v>
      </c>
      <c r="R14" s="191">
        <f>'GEXCHA Limp.Ord. '!D165</f>
        <v>0.61523460489961557</v>
      </c>
      <c r="S14" s="182">
        <v>23</v>
      </c>
      <c r="T14" s="192">
        <f>'GEXCHA Limp.Ord. '!D171</f>
        <v>0.32216554194296959</v>
      </c>
      <c r="U14" s="182">
        <v>223</v>
      </c>
      <c r="V14" s="192">
        <f>'GEXCHA Limp.Ord. '!D173</f>
        <v>1.2351215007855232</v>
      </c>
      <c r="W14" s="184">
        <v>246</v>
      </c>
      <c r="X14" s="192">
        <f>'GEXCHA Limp.Ord. '!D175</f>
        <v>1.2351215007855232</v>
      </c>
      <c r="Y14" s="185">
        <f t="shared" si="0"/>
        <v>9970.2005471463381</v>
      </c>
      <c r="Z14" s="186">
        <f>'Prod. GEXCHA'!P12*'GEXCHA Covid  '!D129</f>
        <v>4597.8565319479067</v>
      </c>
      <c r="AA14" s="193">
        <f>'Prod. GEXCHA'!R12*'GEXCHA Limp.Ord. '!C133</f>
        <v>75.506065146770993</v>
      </c>
      <c r="AB14" s="721">
        <f>'Prod. GEXCHA'!S12*'GEXCHA Covid  '!C133</f>
        <v>74.283987987542105</v>
      </c>
      <c r="AC14" s="631"/>
    </row>
    <row r="15" spans="1:29" x14ac:dyDescent="0.2">
      <c r="A15" s="189">
        <v>10</v>
      </c>
      <c r="B15" s="189" t="s">
        <v>101</v>
      </c>
      <c r="C15" s="189" t="s">
        <v>342</v>
      </c>
      <c r="D15" s="190">
        <f>MC!C78</f>
        <v>0.03</v>
      </c>
      <c r="E15" s="180">
        <v>629</v>
      </c>
      <c r="F15" s="191">
        <f>'GEXCHA Limp.Ord. '!F141</f>
        <v>6.2224582546827207</v>
      </c>
      <c r="G15" s="182">
        <v>65</v>
      </c>
      <c r="H15" s="191">
        <f>'GEXCHA Limp.Ord. '!F146</f>
        <v>2.8001062146072244</v>
      </c>
      <c r="I15" s="182">
        <v>697</v>
      </c>
      <c r="J15" s="191">
        <f>'GEXCHA Limp.Ord. '!F151</f>
        <v>4.3078557147803451</v>
      </c>
      <c r="K15" s="182">
        <v>85</v>
      </c>
      <c r="L15" s="191">
        <f>'GEXCHA Limp.Ord. '!F156</f>
        <v>18.667374764048166</v>
      </c>
      <c r="M15" s="182">
        <v>76</v>
      </c>
      <c r="N15" s="191">
        <f>'GEXCHA Limp.Ord. '!F161</f>
        <v>2.0741527515609071</v>
      </c>
      <c r="O15" s="182">
        <v>627</v>
      </c>
      <c r="P15" s="191">
        <f>'GEXCHA Limp.Ord. '!F163</f>
        <v>5.6002124292144496E-2</v>
      </c>
      <c r="Q15" s="182">
        <v>53</v>
      </c>
      <c r="R15" s="191">
        <f>'GEXCHA Limp.Ord. '!F165</f>
        <v>0.62224582546827212</v>
      </c>
      <c r="S15" s="182">
        <v>143</v>
      </c>
      <c r="T15" s="192">
        <f>'GEXCHA Limp.Ord. '!F171</f>
        <v>0.32583694413035386</v>
      </c>
      <c r="U15" s="182">
        <v>46</v>
      </c>
      <c r="V15" s="192">
        <f>'GEXCHA Limp.Ord. '!F173</f>
        <v>1.2491969594839338</v>
      </c>
      <c r="W15" s="184">
        <v>97</v>
      </c>
      <c r="X15" s="192">
        <f>'GEXCHA Limp.Ord. '!F175</f>
        <v>1.2491969594839338</v>
      </c>
      <c r="Y15" s="185">
        <f t="shared" si="0"/>
        <v>9136.1932523073574</v>
      </c>
      <c r="Z15" s="186">
        <f>'Prod. GEXCHA'!Q13*'GEXCHA Covid  '!C130</f>
        <v>5509.5721384872159</v>
      </c>
      <c r="AA15" s="193">
        <f>'Prod. GEXCHA'!R13*'GEXCHA Limp.Ord. '!C134</f>
        <v>76.366533125651586</v>
      </c>
      <c r="AB15" s="721">
        <f>'Prod. GEXCHA'!S13*'GEXCHA Covid  '!C134</f>
        <v>75.130529161189315</v>
      </c>
      <c r="AC15" s="631"/>
    </row>
    <row r="16" spans="1:29" x14ac:dyDescent="0.2">
      <c r="A16" s="189">
        <v>11</v>
      </c>
      <c r="B16" s="189" t="s">
        <v>103</v>
      </c>
      <c r="C16" s="189" t="s">
        <v>343</v>
      </c>
      <c r="D16" s="190">
        <f>MC!C79</f>
        <v>0.03</v>
      </c>
      <c r="E16" s="180">
        <v>617</v>
      </c>
      <c r="F16" s="191">
        <f>'GEXCHA Limp.Ord. '!F141</f>
        <v>6.2224582546827207</v>
      </c>
      <c r="G16" s="182">
        <v>79</v>
      </c>
      <c r="H16" s="191">
        <f>'GEXCHA Limp.Ord. '!F146</f>
        <v>2.8001062146072244</v>
      </c>
      <c r="I16" s="182">
        <v>629</v>
      </c>
      <c r="J16" s="191">
        <f>'GEXCHA Limp.Ord. '!F151</f>
        <v>4.3078557147803451</v>
      </c>
      <c r="K16" s="182">
        <v>62</v>
      </c>
      <c r="L16" s="191">
        <f>'GEXCHA Limp.Ord. '!F156</f>
        <v>18.667374764048166</v>
      </c>
      <c r="M16" s="182">
        <v>46</v>
      </c>
      <c r="N16" s="191">
        <f>'GEXCHA Limp.Ord. '!F161</f>
        <v>2.0741527515609071</v>
      </c>
      <c r="O16" s="182">
        <v>490</v>
      </c>
      <c r="P16" s="191">
        <f>'GEXCHA Limp.Ord. '!F163</f>
        <v>5.6002124292144496E-2</v>
      </c>
      <c r="Q16" s="182">
        <v>225</v>
      </c>
      <c r="R16" s="191">
        <f>'GEXCHA Limp.Ord. '!F165</f>
        <v>0.62224582546827212</v>
      </c>
      <c r="S16" s="182">
        <v>156</v>
      </c>
      <c r="T16" s="192">
        <f>'GEXCHA Limp.Ord. '!F171</f>
        <v>0.32583694413035386</v>
      </c>
      <c r="U16" s="182">
        <v>248</v>
      </c>
      <c r="V16" s="192">
        <f>'GEXCHA Limp.Ord. '!F173</f>
        <v>1.2491969594839338</v>
      </c>
      <c r="W16" s="184">
        <v>404</v>
      </c>
      <c r="X16" s="192">
        <f>'GEXCHA Limp.Ord. '!F175</f>
        <v>1.2491969594839338</v>
      </c>
      <c r="Y16" s="185">
        <f t="shared" si="0"/>
        <v>9055.647973134206</v>
      </c>
      <c r="Z16" s="186">
        <f>'Prod. GEXCHA'!P14*'GEXCHA Covid  '!D130</f>
        <v>4650.2537573832105</v>
      </c>
      <c r="AA16" s="193">
        <f>'Prod. GEXCHA'!R14*'GEXCHA Limp.Ord. '!C134</f>
        <v>76.366533125651586</v>
      </c>
      <c r="AB16" s="721">
        <f>'Prod. GEXCHA'!S14*'GEXCHA Covid  '!C134</f>
        <v>75.130529161189315</v>
      </c>
      <c r="AC16" s="631"/>
    </row>
    <row r="17" spans="1:1011" x14ac:dyDescent="0.2">
      <c r="A17" s="189">
        <v>12</v>
      </c>
      <c r="B17" s="189" t="s">
        <v>105</v>
      </c>
      <c r="C17" s="189" t="s">
        <v>344</v>
      </c>
      <c r="D17" s="190">
        <f>MC!C80</f>
        <v>0.03</v>
      </c>
      <c r="E17" s="180">
        <v>403</v>
      </c>
      <c r="F17" s="191">
        <f>'GEXCHA Limp.Ord. '!F141</f>
        <v>6.2224582546827207</v>
      </c>
      <c r="G17" s="182">
        <v>42</v>
      </c>
      <c r="H17" s="191">
        <f>'GEXCHA Limp.Ord. '!F146</f>
        <v>2.8001062146072244</v>
      </c>
      <c r="I17" s="182">
        <v>675</v>
      </c>
      <c r="J17" s="191">
        <f>'GEXCHA Limp.Ord. '!F151</f>
        <v>4.3078557147803451</v>
      </c>
      <c r="K17" s="182">
        <v>69</v>
      </c>
      <c r="L17" s="191">
        <f>'GEXCHA Limp.Ord. '!F156</f>
        <v>18.667374764048166</v>
      </c>
      <c r="M17" s="182">
        <v>61</v>
      </c>
      <c r="N17" s="191">
        <f>'GEXCHA Limp.Ord. '!F161</f>
        <v>2.0741527515609071</v>
      </c>
      <c r="O17" s="182">
        <v>39</v>
      </c>
      <c r="P17" s="191">
        <f>'GEXCHA Limp.Ord. '!F163</f>
        <v>5.6002124292144496E-2</v>
      </c>
      <c r="Q17" s="182">
        <v>138</v>
      </c>
      <c r="R17" s="191">
        <f>'GEXCHA Limp.Ord. '!F165</f>
        <v>0.62224582546827212</v>
      </c>
      <c r="S17" s="182">
        <v>153</v>
      </c>
      <c r="T17" s="192">
        <f>'GEXCHA Limp.Ord. '!F171</f>
        <v>0.32583694413035386</v>
      </c>
      <c r="U17" s="182">
        <v>50</v>
      </c>
      <c r="V17" s="192">
        <f>'GEXCHA Limp.Ord. '!F173</f>
        <v>1.2491969594839338</v>
      </c>
      <c r="W17" s="184">
        <v>103</v>
      </c>
      <c r="X17" s="192">
        <f>'GEXCHA Limp.Ord. '!F175</f>
        <v>1.2491969594839338</v>
      </c>
      <c r="Y17" s="185">
        <f t="shared" si="0"/>
        <v>7276.6641157069116</v>
      </c>
      <c r="Z17" s="186">
        <f>'Prod. GEXCHA'!P15*'GEXCHA Covid  '!D130</f>
        <v>4650.2537573832105</v>
      </c>
      <c r="AA17" s="193">
        <f>'Prod. GEXCHA'!R15*'GEXCHA Limp.Ord. '!C134</f>
        <v>76.366533125651586</v>
      </c>
      <c r="AB17" s="721">
        <f>'Prod. GEXCHA'!S15*'GEXCHA Covid  '!C134</f>
        <v>75.130529161189315</v>
      </c>
      <c r="AC17" s="631"/>
    </row>
    <row r="18" spans="1:1011" s="195" customFormat="1" x14ac:dyDescent="0.2">
      <c r="A18" s="189">
        <v>13</v>
      </c>
      <c r="B18" s="189" t="s">
        <v>107</v>
      </c>
      <c r="C18" s="189" t="s">
        <v>345</v>
      </c>
      <c r="D18" s="190">
        <f>MC!C81</f>
        <v>0.03</v>
      </c>
      <c r="E18" s="180">
        <v>506</v>
      </c>
      <c r="F18" s="191">
        <f>'GEXCHA Limp.Ord. '!F141</f>
        <v>6.2224582546827207</v>
      </c>
      <c r="G18" s="182">
        <v>76</v>
      </c>
      <c r="H18" s="191">
        <f>'GEXCHA Limp.Ord. '!F146</f>
        <v>2.8001062146072244</v>
      </c>
      <c r="I18" s="182">
        <v>0</v>
      </c>
      <c r="J18" s="191">
        <f>'GEXCHA Limp.Ord. '!F151</f>
        <v>4.3078557147803451</v>
      </c>
      <c r="K18" s="182">
        <v>41</v>
      </c>
      <c r="L18" s="191">
        <f>'GEXCHA Limp.Ord. '!F156</f>
        <v>18.667374764048166</v>
      </c>
      <c r="M18" s="182">
        <v>96</v>
      </c>
      <c r="N18" s="191">
        <f>'GEXCHA Limp.Ord. '!F161</f>
        <v>2.0741527515609071</v>
      </c>
      <c r="O18" s="182">
        <v>132</v>
      </c>
      <c r="P18" s="191">
        <f>'GEXCHA Limp.Ord. '!F163</f>
        <v>5.6002124292144496E-2</v>
      </c>
      <c r="Q18" s="182">
        <v>851</v>
      </c>
      <c r="R18" s="191">
        <f>'GEXCHA Limp.Ord. '!F165</f>
        <v>0.62224582546827212</v>
      </c>
      <c r="S18" s="182">
        <v>0</v>
      </c>
      <c r="T18" s="192">
        <f>'GEXCHA Limp.Ord. '!F171</f>
        <v>0.32583694413035386</v>
      </c>
      <c r="U18" s="182">
        <v>269</v>
      </c>
      <c r="V18" s="192">
        <f>'GEXCHA Limp.Ord. '!F173</f>
        <v>1.2491969594839338</v>
      </c>
      <c r="W18" s="184">
        <v>269</v>
      </c>
      <c r="X18" s="192">
        <f>'GEXCHA Limp.Ord. '!F175</f>
        <v>1.2491969594839338</v>
      </c>
      <c r="Y18" s="185">
        <f t="shared" si="0"/>
        <v>5534.844420737847</v>
      </c>
      <c r="Z18" s="186">
        <f>'Prod. GEXCHA'!Q16*'GEXCHA Covid  '!C130</f>
        <v>5509.5721384872159</v>
      </c>
      <c r="AA18" s="193">
        <f>'Prod. GEXCHA'!R16*'GEXCHA Limp.Ord. '!C134</f>
        <v>76.366533125651586</v>
      </c>
      <c r="AB18" s="721">
        <f>'Prod. GEXCHA'!S16*'GEXCHA Covid  '!C134</f>
        <v>75.130529161189315</v>
      </c>
      <c r="AC18" s="631"/>
      <c r="AKZ18" s="196"/>
      <c r="ALA18" s="196"/>
      <c r="ALB18" s="196"/>
      <c r="ALC18" s="196"/>
      <c r="ALD18" s="196"/>
      <c r="ALE18" s="196"/>
      <c r="ALF18" s="196"/>
      <c r="ALG18" s="196"/>
      <c r="ALH18" s="196"/>
      <c r="ALI18" s="196"/>
      <c r="ALJ18" s="196"/>
      <c r="ALK18" s="196"/>
      <c r="ALL18" s="196"/>
      <c r="ALO18"/>
      <c r="ALP18"/>
      <c r="ALQ18"/>
      <c r="ALR18"/>
      <c r="ALS18"/>
      <c r="ALT18"/>
      <c r="ALU18"/>
      <c r="ALV18"/>
      <c r="ALW18"/>
    </row>
    <row r="19" spans="1:1011" s="195" customFormat="1" x14ac:dyDescent="0.2">
      <c r="A19" s="189">
        <v>14</v>
      </c>
      <c r="B19" s="189" t="s">
        <v>346</v>
      </c>
      <c r="C19" s="189" t="s">
        <v>347</v>
      </c>
      <c r="D19" s="190">
        <f>MC!C82</f>
        <v>0.02</v>
      </c>
      <c r="E19" s="180">
        <v>399</v>
      </c>
      <c r="F19" s="191">
        <f>'GEXCHA Limp.Ord. '!D141</f>
        <v>6.1523460489961552</v>
      </c>
      <c r="G19" s="182">
        <v>24</v>
      </c>
      <c r="H19" s="191">
        <f>'GEXCHA Limp.Ord. '!D146</f>
        <v>2.7685557220482697</v>
      </c>
      <c r="I19" s="182">
        <v>0</v>
      </c>
      <c r="J19" s="191">
        <f>'GEXCHA Limp.Ord. '!D151</f>
        <v>4.2593164954588767</v>
      </c>
      <c r="K19" s="182">
        <v>37</v>
      </c>
      <c r="L19" s="191">
        <f>'GEXCHA Limp.Ord. '!D156</f>
        <v>18.457038146988467</v>
      </c>
      <c r="M19" s="182">
        <v>36</v>
      </c>
      <c r="N19" s="191">
        <f>'GEXCHA Limp.Ord. '!D161</f>
        <v>2.0507820163320516</v>
      </c>
      <c r="O19" s="182">
        <v>132</v>
      </c>
      <c r="P19" s="191">
        <f>'GEXCHA Limp.Ord. '!D163</f>
        <v>5.5371114440965395E-2</v>
      </c>
      <c r="Q19" s="182">
        <v>446</v>
      </c>
      <c r="R19" s="191">
        <f>'GEXCHA Limp.Ord. '!D165</f>
        <v>0.61523460489961557</v>
      </c>
      <c r="S19" s="182">
        <v>0</v>
      </c>
      <c r="T19" s="192">
        <f>'GEXCHA Limp.Ord. '!D171</f>
        <v>0.32216554194296959</v>
      </c>
      <c r="U19" s="182">
        <v>178</v>
      </c>
      <c r="V19" s="192">
        <f>'GEXCHA Limp.Ord. '!D173</f>
        <v>1.2351215007855232</v>
      </c>
      <c r="W19" s="184">
        <v>178</v>
      </c>
      <c r="X19" s="192">
        <f>'GEXCHA Limp.Ord. '!D175</f>
        <v>1.2351215007855232</v>
      </c>
      <c r="Y19" s="185">
        <f t="shared" si="0"/>
        <v>3999.3768500762335</v>
      </c>
      <c r="Z19" s="186">
        <f>'Prod. GEXCHA'!N17*'GEXCHA Covid  '!D129</f>
        <v>4597.8565319479067</v>
      </c>
      <c r="AA19" s="193">
        <f>'Prod. GEXCHA'!R17*'GEXCHA Limp.Ord. '!C133</f>
        <v>75.506065146770993</v>
      </c>
      <c r="AB19" s="721">
        <f>'Prod. GEXCHA'!S17*'GEXCHA Covid  '!C133</f>
        <v>74.283987987542105</v>
      </c>
      <c r="AC19" s="631"/>
      <c r="AKZ19" s="196"/>
      <c r="ALA19" s="196"/>
      <c r="ALB19" s="196"/>
      <c r="ALC19" s="196"/>
      <c r="ALD19" s="196"/>
      <c r="ALE19" s="196"/>
      <c r="ALF19" s="196"/>
      <c r="ALG19" s="196"/>
      <c r="ALH19" s="196"/>
      <c r="ALI19" s="196"/>
      <c r="ALJ19" s="196"/>
      <c r="ALK19" s="196"/>
      <c r="ALL19" s="196"/>
      <c r="ALO19"/>
      <c r="ALP19"/>
      <c r="ALQ19"/>
      <c r="ALR19"/>
      <c r="ALS19"/>
      <c r="ALT19"/>
      <c r="ALU19"/>
      <c r="ALV19"/>
      <c r="ALW19"/>
    </row>
    <row r="20" spans="1:1011" s="195" customFormat="1" x14ac:dyDescent="0.2">
      <c r="A20" s="189">
        <v>15</v>
      </c>
      <c r="B20" s="189" t="s">
        <v>111</v>
      </c>
      <c r="C20" s="189" t="s">
        <v>348</v>
      </c>
      <c r="D20" s="190">
        <f>MC!C83</f>
        <v>0.03</v>
      </c>
      <c r="E20" s="180">
        <v>375</v>
      </c>
      <c r="F20" s="197">
        <f>'GEXCHA Limp.Ord. APS Porto U.'!D120</f>
        <v>6.4622925209153346</v>
      </c>
      <c r="G20" s="182">
        <v>42</v>
      </c>
      <c r="H20" s="197">
        <f>'GEXCHA Limp.Ord. APS Porto U.'!D125</f>
        <v>2.9080316344119006</v>
      </c>
      <c r="I20" s="182">
        <v>288</v>
      </c>
      <c r="J20" s="197">
        <f>'GEXCHA Limp.Ord. APS Porto U.'!D130</f>
        <v>4.4738948221721548</v>
      </c>
      <c r="K20" s="182">
        <v>81</v>
      </c>
      <c r="L20" s="197">
        <f>'GEXCHA Limp.Ord. APS Porto U.'!D135</f>
        <v>19.386877562746005</v>
      </c>
      <c r="M20" s="182">
        <v>96</v>
      </c>
      <c r="N20" s="197">
        <f>'GEXCHA Limp.Ord. APS Porto U.'!D140</f>
        <v>2.154097506971778</v>
      </c>
      <c r="O20" s="182">
        <v>1275</v>
      </c>
      <c r="P20" s="197">
        <f>'GEXCHA Limp.Ord. APS Porto U.'!D142</f>
        <v>5.8160632688238019E-2</v>
      </c>
      <c r="Q20" s="182">
        <v>526</v>
      </c>
      <c r="R20" s="197">
        <f>'GEXCHA Limp.Ord. APS Porto U.'!D144</f>
        <v>0.64622925209153348</v>
      </c>
      <c r="S20" s="182">
        <v>148</v>
      </c>
      <c r="T20" s="198">
        <f>'GEXCHA Limp.Ord. APS Porto U.'!D150</f>
        <v>0.33793495202956902</v>
      </c>
      <c r="U20" s="182">
        <v>36</v>
      </c>
      <c r="V20" s="198">
        <f>'GEXCHA Limp.Ord. APS Porto U.'!D152</f>
        <v>1.2973451709938104</v>
      </c>
      <c r="W20" s="184">
        <v>112</v>
      </c>
      <c r="X20" s="198">
        <f>'GEXCHA Limp.Ord. APS Porto U.'!D154</f>
        <v>1.2973451709938104</v>
      </c>
      <c r="Y20" s="185">
        <f t="shared" si="0"/>
        <v>6267.2020275109599</v>
      </c>
      <c r="Z20" s="186">
        <f>'GEXCHA Covid APS Porto União'!D130</f>
        <v>4814.7180055694953</v>
      </c>
      <c r="AA20" s="193">
        <f>'Prod. GEXCHA'!R18*'GEXCHA Limp.Ord. APS Porto U.'!C115</f>
        <v>79.309953665779105</v>
      </c>
      <c r="AB20" s="721">
        <f>'Prod. GEXCHA'!S18*'GEXCHA Covid APS Porto União'!C134</f>
        <v>78.073949701316849</v>
      </c>
      <c r="AC20" s="631"/>
      <c r="AKZ20" s="196"/>
      <c r="ALA20" s="196"/>
      <c r="ALB20" s="196"/>
      <c r="ALC20" s="196"/>
      <c r="ALD20" s="196"/>
      <c r="ALE20" s="196"/>
      <c r="ALF20" s="196"/>
      <c r="ALG20" s="196"/>
      <c r="ALH20" s="196"/>
      <c r="ALI20" s="196"/>
      <c r="ALJ20" s="196"/>
      <c r="ALK20" s="196"/>
      <c r="ALL20" s="196"/>
      <c r="ALO20"/>
      <c r="ALP20"/>
      <c r="ALQ20"/>
      <c r="ALR20"/>
      <c r="ALS20"/>
      <c r="ALT20"/>
      <c r="ALU20"/>
      <c r="ALV20"/>
      <c r="ALW20"/>
    </row>
    <row r="21" spans="1:1011" s="195" customFormat="1" x14ac:dyDescent="0.2">
      <c r="A21" s="189">
        <v>16</v>
      </c>
      <c r="B21" s="189" t="s">
        <v>113</v>
      </c>
      <c r="C21" s="189" t="s">
        <v>349</v>
      </c>
      <c r="D21" s="190">
        <f>MC!C84</f>
        <v>0.03</v>
      </c>
      <c r="E21" s="180">
        <v>294</v>
      </c>
      <c r="F21" s="197">
        <f>'GEXCHA Limp.Ord. '!F141</f>
        <v>6.2224582546827207</v>
      </c>
      <c r="G21" s="182">
        <v>40</v>
      </c>
      <c r="H21" s="197">
        <f>'GEXCHA Limp.Ord. '!F146</f>
        <v>2.8001062146072244</v>
      </c>
      <c r="I21" s="182">
        <v>0</v>
      </c>
      <c r="J21" s="197">
        <f>'GEXCHA Limp.Ord. '!F151</f>
        <v>4.3078557147803451</v>
      </c>
      <c r="K21" s="182">
        <v>25</v>
      </c>
      <c r="L21" s="197">
        <f>'GEXCHA Limp.Ord. '!F156</f>
        <v>18.667374764048166</v>
      </c>
      <c r="M21" s="182">
        <v>40</v>
      </c>
      <c r="N21" s="197">
        <f>'GEXCHA Limp.Ord. '!F161</f>
        <v>2.0741527515609071</v>
      </c>
      <c r="O21" s="182">
        <v>384</v>
      </c>
      <c r="P21" s="197">
        <f>'GEXCHA Limp.Ord. '!F163</f>
        <v>5.6002124292144496E-2</v>
      </c>
      <c r="Q21" s="182">
        <v>350</v>
      </c>
      <c r="R21" s="197">
        <f>'GEXCHA Limp.Ord. '!F165</f>
        <v>0.62224582546827212</v>
      </c>
      <c r="S21" s="182">
        <v>0</v>
      </c>
      <c r="T21" s="198">
        <f>'GEXCHA Limp.Ord. '!F171</f>
        <v>0.32583694413035386</v>
      </c>
      <c r="U21" s="182">
        <v>236</v>
      </c>
      <c r="V21" s="198">
        <f>'GEXCHA Limp.Ord. '!F173</f>
        <v>1.2491969594839338</v>
      </c>
      <c r="W21" s="184">
        <v>236</v>
      </c>
      <c r="X21" s="198">
        <f>'GEXCHA Limp.Ord. '!F175</f>
        <v>1.2491969594839338</v>
      </c>
      <c r="Y21" s="185">
        <f t="shared" si="0"/>
        <v>3319.9692741431454</v>
      </c>
      <c r="Z21" s="199"/>
      <c r="AA21" s="200">
        <f>'Prod. GEXCHA'!R19*'GEXCHA Limp.Ord. '!C134</f>
        <v>76.366533125651586</v>
      </c>
      <c r="AB21" s="722">
        <f>'Prod. GEXCHA'!S19*'GEXCHA Covid  '!C134</f>
        <v>75.130529161189315</v>
      </c>
      <c r="AC21" s="632"/>
      <c r="AKZ21" s="196"/>
      <c r="ALA21" s="196"/>
      <c r="ALB21" s="196"/>
      <c r="ALC21" s="196"/>
      <c r="ALD21" s="196"/>
      <c r="ALE21" s="196"/>
      <c r="ALF21" s="196"/>
      <c r="ALG21" s="196"/>
      <c r="ALH21" s="196"/>
      <c r="ALI21" s="196"/>
      <c r="ALJ21" s="196"/>
      <c r="ALK21" s="196"/>
      <c r="ALL21" s="196"/>
      <c r="ALO21"/>
      <c r="ALP21"/>
      <c r="ALQ21"/>
      <c r="ALR21"/>
      <c r="ALS21"/>
      <c r="ALT21"/>
      <c r="ALU21"/>
      <c r="ALV21"/>
      <c r="ALW21"/>
    </row>
    <row r="22" spans="1:1011" s="195" customFormat="1" ht="14.25" customHeight="1" x14ac:dyDescent="0.2">
      <c r="A22" s="189">
        <v>17</v>
      </c>
      <c r="B22" s="189" t="s">
        <v>114</v>
      </c>
      <c r="C22" s="189" t="s">
        <v>350</v>
      </c>
      <c r="D22" s="190">
        <f>MC!C85</f>
        <v>0.03</v>
      </c>
      <c r="E22" s="201">
        <v>313</v>
      </c>
      <c r="F22" s="202">
        <f>'GEXCHA Limp.Ord. '!F141</f>
        <v>6.2224582546827207</v>
      </c>
      <c r="G22" s="203">
        <v>21</v>
      </c>
      <c r="H22" s="202">
        <f>'GEXCHA Limp.Ord. '!F146</f>
        <v>2.8001062146072244</v>
      </c>
      <c r="I22" s="203">
        <v>0</v>
      </c>
      <c r="J22" s="202">
        <f>'GEXCHA Limp.Ord. '!F151</f>
        <v>4.3078557147803451</v>
      </c>
      <c r="K22" s="203">
        <v>25</v>
      </c>
      <c r="L22" s="202">
        <f>'GEXCHA Limp.Ord. '!F156</f>
        <v>18.667374764048166</v>
      </c>
      <c r="M22" s="203">
        <v>36</v>
      </c>
      <c r="N22" s="202">
        <f>'GEXCHA Limp.Ord. '!F161</f>
        <v>2.0741527515609071</v>
      </c>
      <c r="O22" s="203">
        <v>127</v>
      </c>
      <c r="P22" s="202">
        <f>'GEXCHA Limp.Ord. '!F163</f>
        <v>5.6002124292144496E-2</v>
      </c>
      <c r="Q22" s="203">
        <v>74</v>
      </c>
      <c r="R22" s="202">
        <f>'GEXCHA Limp.Ord. '!F165</f>
        <v>0.62224582546827212</v>
      </c>
      <c r="S22" s="204">
        <v>0</v>
      </c>
      <c r="T22" s="198">
        <f>'GEXCHA Limp.Ord. '!F171</f>
        <v>0.32583694413035386</v>
      </c>
      <c r="U22" s="203">
        <v>236</v>
      </c>
      <c r="V22" s="198">
        <f>'GEXCHA Limp.Ord. '!F173</f>
        <v>1.2491969594839338</v>
      </c>
      <c r="W22" s="205">
        <v>236</v>
      </c>
      <c r="X22" s="198">
        <f>'GEXCHA Limp.Ord. '!F175</f>
        <v>1.2491969594839338</v>
      </c>
      <c r="Y22" s="185">
        <f t="shared" si="0"/>
        <v>3190.5649581260118</v>
      </c>
      <c r="Z22" s="206"/>
      <c r="AA22" s="207">
        <f>'Prod. GEXCHA'!R20*'GEXCHA Limp.Ord. '!C134</f>
        <v>76.366533125651586</v>
      </c>
      <c r="AB22" s="723">
        <f>'Prod. GEXCHA'!S20*'GEXCHA Covid  '!C134</f>
        <v>75.130529161189315</v>
      </c>
      <c r="AC22" s="719"/>
      <c r="AKZ22" s="196"/>
      <c r="ALA22" s="196"/>
      <c r="ALB22" s="196"/>
      <c r="ALC22" s="196"/>
      <c r="ALD22" s="196"/>
      <c r="ALE22" s="196"/>
      <c r="ALF22" s="196"/>
      <c r="ALG22" s="196"/>
      <c r="ALH22" s="196"/>
      <c r="ALI22" s="196"/>
      <c r="ALJ22" s="196"/>
      <c r="ALK22" s="196"/>
      <c r="ALL22" s="196"/>
      <c r="ALO22"/>
      <c r="ALP22"/>
      <c r="ALQ22"/>
      <c r="ALR22"/>
      <c r="ALS22"/>
      <c r="ALT22"/>
      <c r="ALU22"/>
      <c r="ALV22"/>
      <c r="ALW22"/>
    </row>
    <row r="23" spans="1:1011" s="195" customFormat="1" ht="14.25" customHeight="1" x14ac:dyDescent="0.2">
      <c r="A23" s="849" t="s">
        <v>351</v>
      </c>
      <c r="B23" s="849"/>
      <c r="C23" s="849"/>
      <c r="D23" s="849"/>
      <c r="E23" s="208">
        <f>SUM(E6:E22)</f>
        <v>9246</v>
      </c>
      <c r="F23" s="208"/>
      <c r="G23" s="209">
        <f>SUM(G6:G22)</f>
        <v>3478</v>
      </c>
      <c r="H23" s="210"/>
      <c r="I23" s="209">
        <f>SUM(I6:I22)</f>
        <v>7515</v>
      </c>
      <c r="J23" s="210"/>
      <c r="K23" s="209">
        <f>SUM(K6:K22)</f>
        <v>1010</v>
      </c>
      <c r="L23" s="210"/>
      <c r="M23" s="209">
        <f>SUM(M6:M22)</f>
        <v>1129</v>
      </c>
      <c r="N23" s="210"/>
      <c r="O23" s="209">
        <f>SUM(O6:O22)</f>
        <v>5859</v>
      </c>
      <c r="P23" s="210"/>
      <c r="Q23" s="209">
        <f>SUM(Q6:Q22)</f>
        <v>5152</v>
      </c>
      <c r="R23" s="210"/>
      <c r="S23" s="209">
        <f>SUM(S6:S22)</f>
        <v>1362</v>
      </c>
      <c r="T23" s="211"/>
      <c r="U23" s="209">
        <f>SUM(U6:U22)</f>
        <v>2893</v>
      </c>
      <c r="V23" s="726"/>
      <c r="W23" s="212">
        <f>SUM(W6:W22)</f>
        <v>3991</v>
      </c>
      <c r="X23" s="210"/>
      <c r="Y23" s="210">
        <f>SUM(Y6:Y22)</f>
        <v>133383.98073833945</v>
      </c>
      <c r="Z23" s="213">
        <f>SUM(Z6:Z22)</f>
        <v>59399.974683930588</v>
      </c>
      <c r="AA23" s="212">
        <f>SUM(AA6:AA22)</f>
        <v>1299.5335932689106</v>
      </c>
      <c r="AB23" s="214">
        <f>SUM(AB6:AB22)</f>
        <v>1278.5480839340985</v>
      </c>
      <c r="AC23" s="725">
        <f>SUM(AC6:AC22)</f>
        <v>2383.8999999999996</v>
      </c>
      <c r="AKZ23" s="196"/>
      <c r="ALA23" s="196"/>
      <c r="ALB23" s="196"/>
      <c r="ALC23" s="196"/>
      <c r="ALD23" s="196"/>
      <c r="ALE23" s="196"/>
      <c r="ALF23" s="196"/>
      <c r="ALG23" s="196"/>
      <c r="ALH23" s="196"/>
      <c r="ALI23" s="196"/>
      <c r="ALJ23" s="196"/>
      <c r="ALK23" s="196"/>
      <c r="ALL23" s="196"/>
      <c r="ALO23"/>
      <c r="ALP23"/>
      <c r="ALQ23"/>
      <c r="ALR23"/>
      <c r="ALS23"/>
      <c r="ALT23"/>
      <c r="ALU23"/>
      <c r="ALV23"/>
      <c r="ALW23"/>
    </row>
    <row r="24" spans="1:1011" s="195" customFormat="1" x14ac:dyDescent="0.2">
      <c r="A24" s="178">
        <v>18</v>
      </c>
      <c r="B24" s="178" t="s">
        <v>84</v>
      </c>
      <c r="C24" s="178" t="s">
        <v>352</v>
      </c>
      <c r="D24" s="179">
        <f>MC!I69</f>
        <v>0.05</v>
      </c>
      <c r="E24" s="613">
        <v>2821</v>
      </c>
      <c r="F24" s="215">
        <f>'GEXCRI Limp.Ord. '!J141</f>
        <v>7.0639256824204182</v>
      </c>
      <c r="G24" s="617">
        <v>203</v>
      </c>
      <c r="H24" s="217">
        <f>'GEXCRI Limp.Ord. '!J146</f>
        <v>3.7674270306242228</v>
      </c>
      <c r="I24" s="216"/>
      <c r="J24" s="217"/>
      <c r="K24" s="216">
        <v>96.31</v>
      </c>
      <c r="L24" s="217">
        <f>'GEXCRI Limp.Ord. '!J156</f>
        <v>28.255702729681673</v>
      </c>
      <c r="M24" s="216">
        <v>746.9</v>
      </c>
      <c r="N24" s="217">
        <f>'GEXCRI Limp.Ord. '!J161</f>
        <v>2.1735155945908979</v>
      </c>
      <c r="O24" s="218"/>
      <c r="P24" s="217"/>
      <c r="Q24" s="218"/>
      <c r="R24" s="217"/>
      <c r="S24" s="219"/>
      <c r="T24" s="217"/>
      <c r="U24" s="218"/>
      <c r="V24" s="217"/>
      <c r="W24" s="220">
        <v>1152.56</v>
      </c>
      <c r="X24" s="217">
        <f>'GEXCRI Limp.Ord. '!J173</f>
        <v>1.5967056709575007</v>
      </c>
      <c r="Y24" s="185">
        <f t="shared" ref="Y24:Y36" si="1">(E24*F24)+(G24*H24)+(I24*J24)+(K24*L24)+(M24*N24)+(O24*P24)+(Q24*R24)+(S24*T24)+(U24*V24)+(W24*X24)</f>
        <v>26877.126652939074</v>
      </c>
      <c r="Z24" s="186">
        <f>('Prod. GEXCRI'!P4*'GEXCRI Covid '!D132)+('Prod. GEXCRI'!Q4*'GEXCRI Covid '!C132)</f>
        <v>9376.3645510991664</v>
      </c>
      <c r="AA24" s="221">
        <f>'Prod. GEXCRI'!R4*'GEXCRI Limp.Ord. '!C136</f>
        <v>77.061007444586366</v>
      </c>
      <c r="AB24" s="188">
        <f>'Prod. GEXCRI'!S4*'GEXCRI Covid '!C136</f>
        <v>75.921041834654631</v>
      </c>
      <c r="AC24" s="222">
        <f>'Prod. GEXCRI'!T4*MC!C15</f>
        <v>2383.8999999999996</v>
      </c>
      <c r="AKZ24" s="196"/>
      <c r="ALA24" s="196"/>
      <c r="ALB24" s="196"/>
      <c r="ALC24" s="196"/>
      <c r="ALD24" s="196"/>
      <c r="ALE24" s="196"/>
      <c r="ALF24" s="196"/>
      <c r="ALG24" s="196"/>
      <c r="ALH24" s="196"/>
      <c r="ALI24" s="196"/>
      <c r="ALJ24" s="196"/>
      <c r="ALK24" s="196"/>
      <c r="ALL24" s="196"/>
      <c r="ALO24"/>
      <c r="ALP24"/>
      <c r="ALQ24"/>
      <c r="ALR24"/>
      <c r="ALS24"/>
      <c r="ALT24"/>
      <c r="ALU24"/>
      <c r="ALV24"/>
      <c r="ALW24"/>
    </row>
    <row r="25" spans="1:1011" s="195" customFormat="1" x14ac:dyDescent="0.2">
      <c r="A25" s="189">
        <v>19</v>
      </c>
      <c r="B25" s="189" t="s">
        <v>86</v>
      </c>
      <c r="C25" s="189" t="s">
        <v>353</v>
      </c>
      <c r="D25" s="190">
        <f>MC!I70</f>
        <v>0.05</v>
      </c>
      <c r="E25" s="614">
        <v>165</v>
      </c>
      <c r="F25" s="223">
        <f>'GEXCRI Limp.Ord. '!J141</f>
        <v>7.0639256824204182</v>
      </c>
      <c r="G25" s="618">
        <v>1835</v>
      </c>
      <c r="H25" s="224">
        <f>'GEXCRI Limp.Ord. '!J146</f>
        <v>3.7674270306242228</v>
      </c>
      <c r="I25" s="182"/>
      <c r="J25" s="224"/>
      <c r="K25" s="182">
        <v>24.5</v>
      </c>
      <c r="L25" s="224">
        <f>'GEXCRI Limp.Ord. '!J156</f>
        <v>28.255702729681673</v>
      </c>
      <c r="M25" s="182">
        <v>135</v>
      </c>
      <c r="N25" s="224">
        <f>'GEXCRI Limp.Ord. '!J161</f>
        <v>2.1735155945908979</v>
      </c>
      <c r="O25" s="225"/>
      <c r="P25" s="224"/>
      <c r="Q25" s="225"/>
      <c r="R25" s="224"/>
      <c r="S25" s="226"/>
      <c r="T25" s="224"/>
      <c r="U25" s="225"/>
      <c r="V25" s="224"/>
      <c r="W25" s="227">
        <v>30</v>
      </c>
      <c r="X25" s="224">
        <f>'GEXCRI Limp.Ord. '!J173</f>
        <v>1.5967056709575007</v>
      </c>
      <c r="Y25" s="185">
        <f t="shared" si="1"/>
        <v>9112.3668310705143</v>
      </c>
      <c r="Z25" s="186"/>
      <c r="AA25" s="228">
        <f>'Prod. GEXCRI'!R5*'GEXCRI Limp.Ord. '!C136</f>
        <v>77.061007444586366</v>
      </c>
      <c r="AB25" s="194">
        <f>'Prod. GEXCRI'!S5*'GEXCRI Covid '!C136</f>
        <v>75.921041834654631</v>
      </c>
      <c r="AC25" s="229"/>
      <c r="AKZ25" s="196"/>
      <c r="ALA25" s="196"/>
      <c r="ALB25" s="196"/>
      <c r="ALC25" s="196"/>
      <c r="ALD25" s="196"/>
      <c r="ALE25" s="196"/>
      <c r="ALF25" s="196"/>
      <c r="ALG25" s="196"/>
      <c r="ALH25" s="196"/>
      <c r="ALI25" s="196"/>
      <c r="ALJ25" s="196"/>
      <c r="ALK25" s="196"/>
      <c r="ALL25" s="196"/>
      <c r="ALO25"/>
      <c r="ALP25"/>
      <c r="ALQ25"/>
      <c r="ALR25"/>
      <c r="ALS25"/>
      <c r="ALT25"/>
      <c r="ALU25"/>
      <c r="ALV25"/>
      <c r="ALW25"/>
    </row>
    <row r="26" spans="1:1011" s="195" customFormat="1" x14ac:dyDescent="0.2">
      <c r="A26" s="189">
        <v>20</v>
      </c>
      <c r="B26" s="189" t="s">
        <v>88</v>
      </c>
      <c r="C26" s="189" t="s">
        <v>354</v>
      </c>
      <c r="D26" s="190">
        <f>MC!I71</f>
        <v>0.03</v>
      </c>
      <c r="E26" s="615">
        <v>1516</v>
      </c>
      <c r="F26" s="223">
        <f>'GEXCRI Limp.Ord. '!F141</f>
        <v>6.9029245272655366</v>
      </c>
      <c r="G26" s="619">
        <v>666.5</v>
      </c>
      <c r="H26" s="224">
        <f>'GEXCRI Limp.Ord. '!F146</f>
        <v>3.6815597478749527</v>
      </c>
      <c r="I26" s="182">
        <v>542.46</v>
      </c>
      <c r="J26" s="217">
        <f>'GEXCRI Limp.Ord. '!F151</f>
        <v>5.0203087471022085</v>
      </c>
      <c r="K26" s="182">
        <v>60.67</v>
      </c>
      <c r="L26" s="224">
        <f>'GEXCRI Limp.Ord. '!F156</f>
        <v>27.611698109062147</v>
      </c>
      <c r="M26" s="182">
        <v>700</v>
      </c>
      <c r="N26" s="224">
        <f>'GEXCRI Limp.Ord. '!F161</f>
        <v>2.123976777620165</v>
      </c>
      <c r="O26" s="225"/>
      <c r="P26" s="224"/>
      <c r="Q26" s="225"/>
      <c r="R26" s="224"/>
      <c r="S26" s="226"/>
      <c r="T26" s="224"/>
      <c r="U26" s="225"/>
      <c r="V26" s="224"/>
      <c r="W26" s="227">
        <v>241.7</v>
      </c>
      <c r="X26" s="224">
        <f>'GEXCRI Limp.Ord. '!F173</f>
        <v>1.5603135189128854</v>
      </c>
      <c r="Y26" s="185">
        <f t="shared" si="1"/>
        <v>19181.023084378434</v>
      </c>
      <c r="Z26" s="186">
        <f>'Prod. GEXCRI'!Q6*'GEXCRI Covid '!C130</f>
        <v>5440.6474993761049</v>
      </c>
      <c r="AA26" s="228">
        <f>'Prod. GEXCRI'!R6*'GEXCRI Limp.Ord. '!C134</f>
        <v>75.304631206533116</v>
      </c>
      <c r="AB26" s="194">
        <f>'Prod. GEXCRI'!S6*'GEXCRI Covid '!C134</f>
        <v>74.190647718765064</v>
      </c>
      <c r="AC26" s="229"/>
      <c r="AKZ26" s="196"/>
      <c r="ALA26" s="196"/>
      <c r="ALB26" s="196"/>
      <c r="ALC26" s="196"/>
      <c r="ALD26" s="196"/>
      <c r="ALE26" s="196"/>
      <c r="ALF26" s="196"/>
      <c r="ALG26" s="196"/>
      <c r="ALH26" s="196"/>
      <c r="ALI26" s="196"/>
      <c r="ALJ26" s="196"/>
      <c r="ALK26" s="196"/>
      <c r="ALL26" s="196"/>
      <c r="ALO26"/>
      <c r="ALP26"/>
      <c r="ALQ26"/>
      <c r="ALR26"/>
      <c r="ALS26"/>
      <c r="ALT26"/>
      <c r="ALU26"/>
      <c r="ALV26"/>
      <c r="ALW26"/>
    </row>
    <row r="27" spans="1:1011" s="195" customFormat="1" x14ac:dyDescent="0.2">
      <c r="A27" s="189">
        <v>21</v>
      </c>
      <c r="B27" s="189" t="s">
        <v>90</v>
      </c>
      <c r="C27" s="189" t="s">
        <v>355</v>
      </c>
      <c r="D27" s="190">
        <f>MC!I72</f>
        <v>0.04</v>
      </c>
      <c r="E27" s="614">
        <v>467</v>
      </c>
      <c r="F27" s="223">
        <f>'GEXCRI Limp.Ord. '!H141</f>
        <v>6.9824971442945332</v>
      </c>
      <c r="G27" s="619">
        <v>48</v>
      </c>
      <c r="H27" s="224">
        <f>'GEXCRI Limp.Ord. '!H146</f>
        <v>3.7239984769570844</v>
      </c>
      <c r="I27" s="182"/>
      <c r="J27" s="224"/>
      <c r="K27" s="182">
        <v>24.24</v>
      </c>
      <c r="L27" s="224">
        <f>'GEXCRI Limp.Ord. '!H156</f>
        <v>27.929988577178133</v>
      </c>
      <c r="M27" s="182">
        <v>806</v>
      </c>
      <c r="N27" s="224">
        <f>'GEXCRI Limp.Ord. '!H161</f>
        <v>2.1484606597829332</v>
      </c>
      <c r="O27" s="225"/>
      <c r="P27" s="224"/>
      <c r="Q27" s="225"/>
      <c r="R27" s="224"/>
      <c r="S27" s="226"/>
      <c r="T27" s="224"/>
      <c r="U27" s="225"/>
      <c r="V27" s="224"/>
      <c r="W27" s="227">
        <v>111.2</v>
      </c>
      <c r="X27" s="224">
        <f>'GEXCRI Limp.Ord. '!H173</f>
        <v>1.5782998418974719</v>
      </c>
      <c r="Y27" s="185">
        <f t="shared" si="1"/>
        <v>6023.7672505943274</v>
      </c>
      <c r="Z27" s="186">
        <f>'Prod. GEXCRI'!P7*'GEXCRI Covid '!D131</f>
        <v>4634.1398285691848</v>
      </c>
      <c r="AA27" s="228">
        <f>'Prod. GEXCRI'!R7*'GEXCRI Limp.Ord. '!C135</f>
        <v>76.172696119576727</v>
      </c>
      <c r="AB27" s="194">
        <f>'Prod. GEXCRI'!S7*'GEXCRI Covid '!C135</f>
        <v>75.045871323592337</v>
      </c>
      <c r="AC27" s="229"/>
      <c r="AKZ27" s="196"/>
      <c r="ALA27" s="196"/>
      <c r="ALB27" s="196"/>
      <c r="ALC27" s="196"/>
      <c r="ALD27" s="196"/>
      <c r="ALE27" s="196"/>
      <c r="ALF27" s="196"/>
      <c r="ALG27" s="196"/>
      <c r="ALH27" s="196"/>
      <c r="ALI27" s="196"/>
      <c r="ALJ27" s="196"/>
      <c r="ALK27" s="196"/>
      <c r="ALL27" s="196"/>
      <c r="ALO27"/>
      <c r="ALP27"/>
      <c r="ALQ27"/>
      <c r="ALR27"/>
      <c r="ALS27"/>
      <c r="ALT27"/>
      <c r="ALU27"/>
      <c r="ALV27"/>
      <c r="ALW27"/>
    </row>
    <row r="28" spans="1:1011" s="195" customFormat="1" x14ac:dyDescent="0.2">
      <c r="A28" s="189">
        <v>22</v>
      </c>
      <c r="B28" s="189" t="s">
        <v>92</v>
      </c>
      <c r="C28" s="189" t="s">
        <v>356</v>
      </c>
      <c r="D28" s="190">
        <f>MC!I73</f>
        <v>0.05</v>
      </c>
      <c r="E28" s="614">
        <v>809.64</v>
      </c>
      <c r="F28" s="223">
        <f>'GEXCRI Limp.Ord. '!J141</f>
        <v>7.0639256824204182</v>
      </c>
      <c r="G28" s="619">
        <v>125</v>
      </c>
      <c r="H28" s="224">
        <f>'GEXCRI Limp.Ord. '!J146</f>
        <v>3.7674270306242228</v>
      </c>
      <c r="I28" s="182"/>
      <c r="J28" s="224"/>
      <c r="K28" s="182">
        <v>29.38</v>
      </c>
      <c r="L28" s="224">
        <f>'GEXCRI Limp.Ord. '!J156</f>
        <v>28.255702729681673</v>
      </c>
      <c r="M28" s="182">
        <v>79.42</v>
      </c>
      <c r="N28" s="224">
        <f>'GEXCRI Limp.Ord. '!J161</f>
        <v>2.1735155945908979</v>
      </c>
      <c r="O28" s="225"/>
      <c r="P28" s="224"/>
      <c r="Q28" s="225"/>
      <c r="R28" s="224"/>
      <c r="S28" s="226"/>
      <c r="T28" s="224"/>
      <c r="U28" s="225"/>
      <c r="V28" s="224"/>
      <c r="W28" s="227">
        <v>74.61</v>
      </c>
      <c r="X28" s="224">
        <f>'GEXCRI Limp.Ord. '!J173</f>
        <v>1.5967056709575007</v>
      </c>
      <c r="Y28" s="185">
        <f t="shared" si="1"/>
        <v>7312.0685331734912</v>
      </c>
      <c r="Z28" s="186"/>
      <c r="AA28" s="228">
        <f>'Prod. GEXCRI'!R8*'GEXCRI Limp.Ord. '!C136</f>
        <v>77.061007444586366</v>
      </c>
      <c r="AB28" s="194">
        <f>'Prod. GEXCRI'!S8*'GEXCRI Covid '!C136</f>
        <v>75.921041834654631</v>
      </c>
      <c r="AC28" s="229"/>
      <c r="AKZ28" s="196"/>
      <c r="ALA28" s="196"/>
      <c r="ALB28" s="196"/>
      <c r="ALC28" s="196"/>
      <c r="ALD28" s="196"/>
      <c r="ALE28" s="196"/>
      <c r="ALF28" s="196"/>
      <c r="ALG28" s="196"/>
      <c r="ALH28" s="196"/>
      <c r="ALI28" s="196"/>
      <c r="ALJ28" s="196"/>
      <c r="ALK28" s="196"/>
      <c r="ALL28" s="196"/>
      <c r="ALO28"/>
      <c r="ALP28"/>
      <c r="ALQ28"/>
      <c r="ALR28"/>
      <c r="ALS28"/>
      <c r="ALT28"/>
      <c r="ALU28"/>
      <c r="ALV28"/>
      <c r="ALW28"/>
    </row>
    <row r="29" spans="1:1011" s="195" customFormat="1" x14ac:dyDescent="0.2">
      <c r="A29" s="189">
        <v>23</v>
      </c>
      <c r="B29" s="189" t="s">
        <v>94</v>
      </c>
      <c r="C29" s="189" t="s">
        <v>357</v>
      </c>
      <c r="D29" s="190">
        <f>MC!I74</f>
        <v>0.04</v>
      </c>
      <c r="E29" s="614"/>
      <c r="F29" s="223">
        <f>'GEXCRI Limp.Ord. '!H141</f>
        <v>6.9824971442945332</v>
      </c>
      <c r="G29" s="619">
        <f>30+519.3</f>
        <v>549.29999999999995</v>
      </c>
      <c r="H29" s="224">
        <f>'GEXCRI Limp.Ord. '!H146</f>
        <v>3.7239984769570844</v>
      </c>
      <c r="I29" s="182"/>
      <c r="J29" s="224"/>
      <c r="K29" s="182">
        <v>22.51</v>
      </c>
      <c r="L29" s="224">
        <f>'GEXCRI Limp.Ord. '!H156</f>
        <v>27.929988577178133</v>
      </c>
      <c r="M29" s="182">
        <v>521</v>
      </c>
      <c r="N29" s="224">
        <f>'GEXCRI Limp.Ord. '!H161</f>
        <v>2.1484606597829332</v>
      </c>
      <c r="O29" s="225"/>
      <c r="P29" s="224"/>
      <c r="Q29" s="225"/>
      <c r="R29" s="224"/>
      <c r="S29" s="226"/>
      <c r="T29" s="224"/>
      <c r="U29" s="225"/>
      <c r="V29" s="224"/>
      <c r="W29" s="227">
        <v>102.1</v>
      </c>
      <c r="X29" s="224">
        <f>'GEXCRI Limp.Ord. '!H173</f>
        <v>1.5782998418974719</v>
      </c>
      <c r="Y29" s="185">
        <f>(E29*F29)+(G29*H29)+(I29*J29)+(K29*L29)+(M29*N29)+(O29*P29)+(Q29*R29)+(S29*T29)+(U29*V29)+(W29*X29)</f>
        <v>3954.7888238694459</v>
      </c>
      <c r="Z29" s="186"/>
      <c r="AA29" s="228">
        <f>'Prod. GEXCRI'!R9*'GEXCRI Limp.Ord. '!C135</f>
        <v>76.172696119576727</v>
      </c>
      <c r="AB29" s="194">
        <f>'Prod. GEXCRI'!S9*'GEXCRI Covid '!C135</f>
        <v>75.045871323592337</v>
      </c>
      <c r="AC29" s="229"/>
      <c r="AKZ29" s="196"/>
      <c r="ALA29" s="196"/>
      <c r="ALB29" s="196"/>
      <c r="ALC29" s="196"/>
      <c r="ALD29" s="196"/>
      <c r="ALE29" s="196"/>
      <c r="ALF29" s="196"/>
      <c r="ALG29" s="196"/>
      <c r="ALH29" s="196"/>
      <c r="ALI29" s="196"/>
      <c r="ALJ29" s="196"/>
      <c r="ALK29" s="196"/>
      <c r="ALL29" s="196"/>
      <c r="ALO29"/>
      <c r="ALP29"/>
      <c r="ALQ29"/>
      <c r="ALR29"/>
      <c r="ALS29"/>
      <c r="ALT29"/>
      <c r="ALU29"/>
      <c r="ALV29"/>
      <c r="ALW29"/>
    </row>
    <row r="30" spans="1:1011" s="195" customFormat="1" x14ac:dyDescent="0.2">
      <c r="A30" s="189">
        <v>24</v>
      </c>
      <c r="B30" s="189" t="s">
        <v>96</v>
      </c>
      <c r="C30" s="189" t="s">
        <v>358</v>
      </c>
      <c r="D30" s="190">
        <f>MC!I75</f>
        <v>0.03</v>
      </c>
      <c r="E30" s="615">
        <v>1313</v>
      </c>
      <c r="F30" s="223">
        <f>'GEXCRI Limp.Ord. '!F141</f>
        <v>6.9029245272655366</v>
      </c>
      <c r="G30" s="619"/>
      <c r="H30" s="224"/>
      <c r="I30" s="182">
        <v>2211</v>
      </c>
      <c r="J30" s="224">
        <f>'GEXCRI Limp.Ord. '!F151</f>
        <v>5.0203087471022085</v>
      </c>
      <c r="K30" s="182">
        <v>68.430000000000007</v>
      </c>
      <c r="L30" s="224">
        <f>'GEXCRI Limp.Ord. '!F156</f>
        <v>27.611698109062147</v>
      </c>
      <c r="M30" s="182">
        <v>307.11</v>
      </c>
      <c r="N30" s="224">
        <f>'GEXCRI Limp.Ord. '!F161</f>
        <v>2.123976777620165</v>
      </c>
      <c r="O30" s="225"/>
      <c r="P30" s="224"/>
      <c r="Q30" s="225"/>
      <c r="R30" s="224"/>
      <c r="S30" s="226"/>
      <c r="T30" s="224"/>
      <c r="U30" s="225"/>
      <c r="V30" s="224"/>
      <c r="W30" s="227">
        <v>730.59</v>
      </c>
      <c r="X30" s="224">
        <f>'GEXCRI Limp.Ord. '!F173</f>
        <v>1.5603135189128854</v>
      </c>
      <c r="Y30" s="185">
        <f t="shared" si="1"/>
        <v>23845.155007703244</v>
      </c>
      <c r="Z30" s="186">
        <f>('Prod. GEXCRI'!Q10*'GEXCRI Covid '!C130)+('Prod. GEXCRI'!P10*'GEXCRI Covid '!D130)</f>
        <v>10021.976617648204</v>
      </c>
      <c r="AA30" s="228">
        <f>'Prod. GEXCRI'!R10*'GEXCRI Limp.Ord. '!C134</f>
        <v>75.304631206533116</v>
      </c>
      <c r="AB30" s="194">
        <f>'Prod. GEXCRI'!S10*'GEXCRI Covid '!C134</f>
        <v>74.190647718765064</v>
      </c>
      <c r="AC30" s="229"/>
      <c r="AKZ30" s="196"/>
      <c r="ALA30" s="196"/>
      <c r="ALB30" s="196"/>
      <c r="ALC30" s="196"/>
      <c r="ALD30" s="196"/>
      <c r="ALE30" s="196"/>
      <c r="ALF30" s="196"/>
      <c r="ALG30" s="196"/>
      <c r="ALH30" s="196"/>
      <c r="ALI30" s="196"/>
      <c r="ALJ30" s="196"/>
      <c r="ALK30" s="196"/>
      <c r="ALL30" s="196"/>
      <c r="ALO30"/>
      <c r="ALP30"/>
      <c r="ALQ30"/>
      <c r="ALR30"/>
      <c r="ALS30"/>
      <c r="ALT30"/>
      <c r="ALU30"/>
      <c r="ALV30"/>
      <c r="ALW30"/>
    </row>
    <row r="31" spans="1:1011" s="195" customFormat="1" x14ac:dyDescent="0.2">
      <c r="A31" s="189">
        <v>25</v>
      </c>
      <c r="B31" s="189" t="s">
        <v>98</v>
      </c>
      <c r="C31" s="189" t="s">
        <v>359</v>
      </c>
      <c r="D31" s="190">
        <f>MC!I76</f>
        <v>0.03</v>
      </c>
      <c r="E31" s="614">
        <v>498</v>
      </c>
      <c r="F31" s="223">
        <f>'GEXCRI Limp.Ord. '!F141</f>
        <v>6.9029245272655366</v>
      </c>
      <c r="G31" s="619">
        <v>58</v>
      </c>
      <c r="H31" s="224">
        <f>'GEXCRI Limp.Ord. '!F146</f>
        <v>3.6815597478749527</v>
      </c>
      <c r="I31" s="182"/>
      <c r="J31" s="224"/>
      <c r="K31" s="182">
        <v>17.52</v>
      </c>
      <c r="L31" s="224">
        <f>'GEXCRI Limp.Ord. '!F156</f>
        <v>27.611698109062147</v>
      </c>
      <c r="M31" s="182">
        <v>107.15</v>
      </c>
      <c r="N31" s="224">
        <f>'GEXCRI Limp.Ord. '!F161</f>
        <v>2.123976777620165</v>
      </c>
      <c r="O31" s="225"/>
      <c r="P31" s="224"/>
      <c r="Q31" s="225"/>
      <c r="R31" s="224"/>
      <c r="S31" s="226"/>
      <c r="T31" s="224"/>
      <c r="U31" s="225"/>
      <c r="V31" s="224"/>
      <c r="W31" s="227">
        <v>115.3</v>
      </c>
      <c r="X31" s="224">
        <f>'GEXCRI Limp.Ord. '!F173</f>
        <v>1.5603135189128854</v>
      </c>
      <c r="Y31" s="185">
        <f t="shared" si="1"/>
        <v>4542.4320912784096</v>
      </c>
      <c r="Z31" s="186"/>
      <c r="AA31" s="228">
        <f>'Prod. GEXCRI'!R11*'GEXCRI Limp.Ord. '!C134</f>
        <v>75.304631206533116</v>
      </c>
      <c r="AB31" s="194">
        <f>'Prod. GEXCRI'!S11*'GEXCRI Covid '!C134</f>
        <v>74.190647718765064</v>
      </c>
      <c r="AC31" s="229"/>
      <c r="AKZ31" s="196"/>
      <c r="ALA31" s="196"/>
      <c r="ALB31" s="196"/>
      <c r="ALC31" s="196"/>
      <c r="ALD31" s="196"/>
      <c r="ALE31" s="196"/>
      <c r="ALF31" s="196"/>
      <c r="ALG31" s="196"/>
      <c r="ALH31" s="196"/>
      <c r="ALI31" s="196"/>
      <c r="ALJ31" s="196"/>
      <c r="ALK31" s="196"/>
      <c r="ALL31" s="196"/>
      <c r="ALO31"/>
      <c r="ALP31"/>
      <c r="ALQ31"/>
      <c r="ALR31"/>
      <c r="ALS31"/>
      <c r="ALT31"/>
      <c r="ALU31"/>
      <c r="ALV31"/>
      <c r="ALW31"/>
    </row>
    <row r="32" spans="1:1011" s="195" customFormat="1" x14ac:dyDescent="0.2">
      <c r="A32" s="189">
        <v>26</v>
      </c>
      <c r="B32" s="189" t="s">
        <v>100</v>
      </c>
      <c r="C32" s="189" t="s">
        <v>360</v>
      </c>
      <c r="D32" s="190">
        <f>MC!I77</f>
        <v>0.05</v>
      </c>
      <c r="E32" s="614">
        <v>276</v>
      </c>
      <c r="F32" s="223">
        <f>'GEXCRI Limp.Ord. '!J141</f>
        <v>7.0639256824204182</v>
      </c>
      <c r="G32" s="619">
        <v>74</v>
      </c>
      <c r="H32" s="224">
        <f>'GEXCRI Limp.Ord. '!J146</f>
        <v>3.7674270306242228</v>
      </c>
      <c r="I32" s="182"/>
      <c r="J32" s="224"/>
      <c r="K32" s="182">
        <v>15.55</v>
      </c>
      <c r="L32" s="224">
        <f>'GEXCRI Limp.Ord. '!J156</f>
        <v>28.255702729681673</v>
      </c>
      <c r="M32" s="182">
        <v>59</v>
      </c>
      <c r="N32" s="224">
        <f>'GEXCRI Limp.Ord. '!J161</f>
        <v>2.1735155945908979</v>
      </c>
      <c r="O32" s="225"/>
      <c r="P32" s="224"/>
      <c r="Q32" s="225"/>
      <c r="R32" s="224"/>
      <c r="S32" s="226"/>
      <c r="T32" s="224"/>
      <c r="U32" s="225"/>
      <c r="V32" s="224"/>
      <c r="W32" s="227">
        <v>97.57</v>
      </c>
      <c r="X32" s="224">
        <f>'GEXCRI Limp.Ord. '!J173</f>
        <v>1.5967056709575007</v>
      </c>
      <c r="Y32" s="185">
        <f t="shared" si="1"/>
        <v>2951.8372584569647</v>
      </c>
      <c r="Z32" s="186"/>
      <c r="AA32" s="228">
        <f>'Prod. GEXCRI'!R12*'GEXCRI Limp.Ord. '!C136</f>
        <v>77.061007444586366</v>
      </c>
      <c r="AB32" s="194">
        <f>'Prod. GEXCRI'!S12*'GEXCRI Covid '!C136</f>
        <v>75.921041834654631</v>
      </c>
      <c r="AC32" s="229"/>
      <c r="AKZ32" s="196"/>
      <c r="ALA32" s="196"/>
      <c r="ALB32" s="196"/>
      <c r="ALC32" s="196"/>
      <c r="ALD32" s="196"/>
      <c r="ALE32" s="196"/>
      <c r="ALF32" s="196"/>
      <c r="ALG32" s="196"/>
      <c r="ALH32" s="196"/>
      <c r="ALI32" s="196"/>
      <c r="ALJ32" s="196"/>
      <c r="ALK32" s="196"/>
      <c r="ALL32" s="196"/>
      <c r="ALO32"/>
      <c r="ALP32"/>
      <c r="ALQ32"/>
      <c r="ALR32"/>
      <c r="ALS32"/>
      <c r="ALT32"/>
      <c r="ALU32"/>
      <c r="ALV32"/>
      <c r="ALW32"/>
    </row>
    <row r="33" spans="1:1011" s="195" customFormat="1" x14ac:dyDescent="0.2">
      <c r="A33" s="189">
        <v>27</v>
      </c>
      <c r="B33" s="189" t="s">
        <v>102</v>
      </c>
      <c r="C33" s="189" t="s">
        <v>361</v>
      </c>
      <c r="D33" s="190">
        <f>MC!I78</f>
        <v>0.03</v>
      </c>
      <c r="E33" s="614"/>
      <c r="F33" s="223">
        <f>'GEXCRI Limp.Ord. '!F141</f>
        <v>6.9029245272655366</v>
      </c>
      <c r="G33" s="619">
        <f>405+364.2</f>
        <v>769.2</v>
      </c>
      <c r="H33" s="224">
        <f>'GEXCRI Limp.Ord. '!F146</f>
        <v>3.6815597478749527</v>
      </c>
      <c r="I33" s="182">
        <v>800.46</v>
      </c>
      <c r="J33" s="224">
        <f>'GEXCRI Limp.Ord. '!F151</f>
        <v>5.0203087471022085</v>
      </c>
      <c r="K33" s="182">
        <v>27.5</v>
      </c>
      <c r="L33" s="224">
        <f>'GEXCRI Limp.Ord. '!F156</f>
        <v>27.611698109062147</v>
      </c>
      <c r="M33" s="182">
        <v>484.58</v>
      </c>
      <c r="N33" s="224">
        <f>'GEXCRI Limp.Ord. '!F161</f>
        <v>2.123976777620165</v>
      </c>
      <c r="O33" s="225"/>
      <c r="P33" s="224"/>
      <c r="Q33" s="225"/>
      <c r="R33" s="224"/>
      <c r="S33" s="226"/>
      <c r="T33" s="224"/>
      <c r="U33" s="225"/>
      <c r="V33" s="224"/>
      <c r="W33" s="227">
        <v>142.80000000000001</v>
      </c>
      <c r="X33" s="224">
        <f>'GEXCRI Limp.Ord. '!F173</f>
        <v>1.5603135189128854</v>
      </c>
      <c r="Y33" s="185">
        <f t="shared" si="1"/>
        <v>8861.7832331699974</v>
      </c>
      <c r="Z33" s="186"/>
      <c r="AA33" s="228">
        <f>'Prod. GEXCRI'!R13*'GEXCRI Limp.Ord. '!C134</f>
        <v>75.304631206533116</v>
      </c>
      <c r="AB33" s="194">
        <f>'Prod. GEXCRI'!S13*'GEXCRI Covid '!C134</f>
        <v>74.190647718765064</v>
      </c>
      <c r="AC33" s="229"/>
      <c r="AKZ33" s="196"/>
      <c r="ALA33" s="196"/>
      <c r="ALB33" s="196"/>
      <c r="ALC33" s="196"/>
      <c r="ALD33" s="196"/>
      <c r="ALE33" s="196"/>
      <c r="ALF33" s="196"/>
      <c r="ALG33" s="196"/>
      <c r="ALH33" s="196"/>
      <c r="ALI33" s="196"/>
      <c r="ALJ33" s="196"/>
      <c r="ALK33" s="196"/>
      <c r="ALL33" s="196"/>
      <c r="ALO33"/>
      <c r="ALP33"/>
      <c r="ALQ33"/>
      <c r="ALR33"/>
      <c r="ALS33"/>
      <c r="ALT33"/>
      <c r="ALU33"/>
      <c r="ALV33"/>
      <c r="ALW33"/>
    </row>
    <row r="34" spans="1:1011" s="195" customFormat="1" x14ac:dyDescent="0.2">
      <c r="A34" s="189">
        <v>28</v>
      </c>
      <c r="B34" s="189" t="s">
        <v>104</v>
      </c>
      <c r="C34" s="189" t="s">
        <v>362</v>
      </c>
      <c r="D34" s="190">
        <f>MC!I79</f>
        <v>0.03</v>
      </c>
      <c r="E34" s="614">
        <v>334.4</v>
      </c>
      <c r="F34" s="223">
        <f>'GEXCRI Limp.Ord. '!F141</f>
        <v>6.9029245272655366</v>
      </c>
      <c r="G34" s="619">
        <v>50</v>
      </c>
      <c r="H34" s="224">
        <f>'GEXCRI Limp.Ord. '!F146</f>
        <v>3.6815597478749527</v>
      </c>
      <c r="I34" s="182"/>
      <c r="J34" s="224"/>
      <c r="K34" s="182">
        <v>22.51</v>
      </c>
      <c r="L34" s="224">
        <f>'GEXCRI Limp.Ord. '!F156</f>
        <v>27.611698109062147</v>
      </c>
      <c r="M34" s="182">
        <v>521</v>
      </c>
      <c r="N34" s="224">
        <f>'GEXCRI Limp.Ord. '!F161</f>
        <v>2.123976777620165</v>
      </c>
      <c r="O34" s="225"/>
      <c r="P34" s="224"/>
      <c r="Q34" s="225"/>
      <c r="R34" s="224"/>
      <c r="S34" s="226"/>
      <c r="T34" s="224"/>
      <c r="U34" s="225"/>
      <c r="V34" s="224"/>
      <c r="W34" s="227">
        <v>102.1</v>
      </c>
      <c r="X34" s="224">
        <f>'GEXCRI Limp.Ord. '!F173</f>
        <v>1.5603135189128854</v>
      </c>
      <c r="Y34" s="185">
        <f t="shared" si="1"/>
        <v>4379.8551851674438</v>
      </c>
      <c r="Z34" s="186">
        <f>'Prod. GEXCRI'!P14*'GEXCRI Covid '!D130</f>
        <v>4581.3291182720995</v>
      </c>
      <c r="AA34" s="228">
        <f>'Prod. GEXCRI'!R14*'GEXCRI Limp.Ord. '!C134</f>
        <v>75.304631206533116</v>
      </c>
      <c r="AB34" s="194">
        <f>'Prod. GEXCRI'!S14*'GEXCRI Covid '!C134</f>
        <v>74.190647718765064</v>
      </c>
      <c r="AC34" s="229"/>
      <c r="AKZ34" s="196"/>
      <c r="ALA34" s="196"/>
      <c r="ALB34" s="196"/>
      <c r="ALC34" s="196"/>
      <c r="ALD34" s="196"/>
      <c r="ALE34" s="196"/>
      <c r="ALF34" s="196"/>
      <c r="ALG34" s="196"/>
      <c r="ALH34" s="196"/>
      <c r="ALI34" s="196"/>
      <c r="ALJ34" s="196"/>
      <c r="ALK34" s="196"/>
      <c r="ALL34" s="196"/>
      <c r="ALO34"/>
      <c r="ALP34"/>
      <c r="ALQ34"/>
      <c r="ALR34"/>
      <c r="ALS34"/>
      <c r="ALT34"/>
      <c r="ALU34"/>
      <c r="ALV34"/>
      <c r="ALW34"/>
    </row>
    <row r="35" spans="1:1011" s="195" customFormat="1" x14ac:dyDescent="0.2">
      <c r="A35" s="189">
        <v>29</v>
      </c>
      <c r="B35" s="189" t="s">
        <v>106</v>
      </c>
      <c r="C35" s="189" t="s">
        <v>363</v>
      </c>
      <c r="D35" s="190">
        <f>MC!I80</f>
        <v>0.03</v>
      </c>
      <c r="E35" s="614">
        <v>334.4</v>
      </c>
      <c r="F35" s="223">
        <f>'GEXCRI Limp.Ord. '!F141</f>
        <v>6.9029245272655366</v>
      </c>
      <c r="G35" s="619"/>
      <c r="H35" s="224"/>
      <c r="I35" s="182"/>
      <c r="J35" s="224"/>
      <c r="K35" s="182">
        <v>23.92</v>
      </c>
      <c r="L35" s="224">
        <f>'GEXCRI Limp.Ord. '!F156</f>
        <v>27.611698109062147</v>
      </c>
      <c r="M35" s="182">
        <v>977.7</v>
      </c>
      <c r="N35" s="224">
        <f>'GEXCRI Limp.Ord. '!F161</f>
        <v>2.123976777620165</v>
      </c>
      <c r="O35" s="225"/>
      <c r="P35" s="224"/>
      <c r="Q35" s="225"/>
      <c r="R35" s="224"/>
      <c r="S35" s="226"/>
      <c r="T35" s="224"/>
      <c r="U35" s="225"/>
      <c r="V35" s="224"/>
      <c r="W35" s="227">
        <v>123.8</v>
      </c>
      <c r="X35" s="224">
        <f>'GEXCRI Limp.Ord. '!F173</f>
        <v>1.5603135189128854</v>
      </c>
      <c r="Y35" s="185">
        <f t="shared" si="1"/>
        <v>5238.588689807013</v>
      </c>
      <c r="Z35" s="186">
        <f>'Prod. GEXCRI'!Q15*'GEXCRI Covid '!C130</f>
        <v>5440.6474993761049</v>
      </c>
      <c r="AA35" s="228">
        <f>'Prod. GEXCRI'!R15*'GEXCRI Limp.Ord. '!C134</f>
        <v>75.304631206533116</v>
      </c>
      <c r="AB35" s="194">
        <f>'Prod. GEXCRI'!S15*'GEXCRI Covid '!C134</f>
        <v>74.190647718765064</v>
      </c>
      <c r="AC35" s="229"/>
      <c r="AKZ35" s="196"/>
      <c r="ALA35" s="196"/>
      <c r="ALB35" s="196"/>
      <c r="ALC35" s="196"/>
      <c r="ALD35" s="196"/>
      <c r="ALE35" s="196"/>
      <c r="ALF35" s="196"/>
      <c r="ALG35" s="196"/>
      <c r="ALH35" s="196"/>
      <c r="ALI35" s="196"/>
      <c r="ALJ35" s="196"/>
      <c r="ALK35" s="196"/>
      <c r="ALL35" s="196"/>
      <c r="ALO35"/>
      <c r="ALP35"/>
      <c r="ALQ35"/>
      <c r="ALR35"/>
      <c r="ALS35"/>
      <c r="ALT35"/>
      <c r="ALU35"/>
      <c r="ALV35"/>
      <c r="ALW35"/>
    </row>
    <row r="36" spans="1:1011" s="195" customFormat="1" x14ac:dyDescent="0.2">
      <c r="A36" s="189">
        <v>30</v>
      </c>
      <c r="B36" s="189" t="s">
        <v>108</v>
      </c>
      <c r="C36" s="189" t="s">
        <v>364</v>
      </c>
      <c r="D36" s="190">
        <f>MC!I81</f>
        <v>0.05</v>
      </c>
      <c r="E36" s="616">
        <v>334.4</v>
      </c>
      <c r="F36" s="223">
        <f>'GEXCRI Limp.Ord. '!J141</f>
        <v>7.0639256824204182</v>
      </c>
      <c r="G36" s="620"/>
      <c r="H36" s="224"/>
      <c r="I36" s="203"/>
      <c r="J36" s="224"/>
      <c r="K36" s="203">
        <v>24.5</v>
      </c>
      <c r="L36" s="224">
        <f>'GEXCRI Limp.Ord. '!J156</f>
        <v>28.255702729681673</v>
      </c>
      <c r="M36" s="203">
        <v>865.6</v>
      </c>
      <c r="N36" s="224">
        <f>'GEXCRI Limp.Ord. '!J161</f>
        <v>2.1735155945908979</v>
      </c>
      <c r="O36" s="225"/>
      <c r="P36" s="224"/>
      <c r="Q36" s="225"/>
      <c r="R36" s="224"/>
      <c r="S36" s="226"/>
      <c r="T36" s="224"/>
      <c r="U36" s="225"/>
      <c r="V36" s="224"/>
      <c r="W36" s="230">
        <v>123.8</v>
      </c>
      <c r="X36" s="224">
        <f>'GEXCRI Limp.Ord. '!J173</f>
        <v>1.5967056709575007</v>
      </c>
      <c r="Y36" s="185">
        <f t="shared" si="1"/>
        <v>5133.5087258210078</v>
      </c>
      <c r="Z36" s="186"/>
      <c r="AA36" s="228">
        <f>'Prod. GEXCRI'!R16*'GEXCRI Limp.Ord. '!C136</f>
        <v>77.061007444586366</v>
      </c>
      <c r="AB36" s="194">
        <f>'Prod. GEXCRI'!S16*'GEXCRI Covid '!C136</f>
        <v>75.921041834654631</v>
      </c>
      <c r="AC36" s="229"/>
      <c r="AKZ36" s="196"/>
      <c r="ALA36" s="196"/>
      <c r="ALB36" s="196"/>
      <c r="ALC36" s="196"/>
      <c r="ALD36" s="196"/>
      <c r="ALE36" s="196"/>
      <c r="ALF36" s="196"/>
      <c r="ALG36" s="196"/>
      <c r="ALH36" s="196"/>
      <c r="ALI36" s="196"/>
      <c r="ALJ36" s="196"/>
      <c r="ALK36" s="196"/>
      <c r="ALL36" s="196"/>
      <c r="ALO36"/>
      <c r="ALP36"/>
      <c r="ALQ36"/>
      <c r="ALR36"/>
      <c r="ALS36"/>
      <c r="ALT36"/>
      <c r="ALU36"/>
      <c r="ALV36"/>
      <c r="ALW36"/>
    </row>
    <row r="37" spans="1:1011" s="195" customFormat="1" x14ac:dyDescent="0.2">
      <c r="A37" s="849" t="s">
        <v>365</v>
      </c>
      <c r="B37" s="849"/>
      <c r="C37" s="849"/>
      <c r="D37" s="849"/>
      <c r="E37" s="231">
        <f>SUM(E24:E36)</f>
        <v>8868.84</v>
      </c>
      <c r="F37" s="232"/>
      <c r="G37" s="209">
        <f>SUM(G24:G36)</f>
        <v>4378</v>
      </c>
      <c r="H37" s="210"/>
      <c r="I37" s="209">
        <f>SUM(I24:I36)</f>
        <v>3553.92</v>
      </c>
      <c r="J37" s="210"/>
      <c r="K37" s="209">
        <f>SUM(K24:K36)</f>
        <v>457.54</v>
      </c>
      <c r="L37" s="210"/>
      <c r="M37" s="233">
        <f>SUM(M24:M36)</f>
        <v>6310.46</v>
      </c>
      <c r="N37" s="234"/>
      <c r="O37" s="233">
        <f>SUM(O24:O36)</f>
        <v>0</v>
      </c>
      <c r="P37" s="210"/>
      <c r="Q37" s="209">
        <f>SUM(Q24:Q36)</f>
        <v>0</v>
      </c>
      <c r="R37" s="210"/>
      <c r="S37" s="209">
        <f>SUM(S24:S36)</f>
        <v>0</v>
      </c>
      <c r="T37" s="210"/>
      <c r="U37" s="233">
        <f>SUM(U24:U36)</f>
        <v>0</v>
      </c>
      <c r="V37" s="210"/>
      <c r="W37" s="212">
        <f>SUM(W24:W36)</f>
        <v>3148.1300000000006</v>
      </c>
      <c r="X37" s="210"/>
      <c r="Y37" s="210">
        <f>SUM(Y24:Y36)</f>
        <v>127414.30136742936</v>
      </c>
      <c r="Z37" s="214">
        <f>SUM(Z24:Z36)</f>
        <v>39495.105114340862</v>
      </c>
      <c r="AA37" s="212">
        <f>SUM(AA24:AA36)</f>
        <v>989.47821670128417</v>
      </c>
      <c r="AB37" s="214">
        <f>SUM(AB24:AB36)</f>
        <v>974.84083813304801</v>
      </c>
      <c r="AC37" s="210">
        <f>SUM(AC24:AC36)</f>
        <v>2383.8999999999996</v>
      </c>
      <c r="AKZ37" s="196"/>
      <c r="ALA37" s="196"/>
      <c r="ALB37" s="196"/>
      <c r="ALC37" s="196"/>
      <c r="ALD37" s="196"/>
      <c r="ALE37" s="196"/>
      <c r="ALF37" s="196"/>
      <c r="ALG37" s="196"/>
      <c r="ALH37" s="196"/>
      <c r="ALI37" s="196"/>
      <c r="ALJ37" s="196"/>
      <c r="ALK37" s="196"/>
      <c r="ALL37" s="196"/>
      <c r="ALO37"/>
      <c r="ALP37"/>
      <c r="ALQ37"/>
      <c r="ALR37"/>
      <c r="ALS37"/>
      <c r="ALT37"/>
      <c r="ALU37"/>
      <c r="ALV37"/>
      <c r="ALW37"/>
    </row>
    <row r="38" spans="1:1011" s="195" customFormat="1" ht="15" x14ac:dyDescent="0.25">
      <c r="B38" s="235"/>
      <c r="C38" s="235"/>
      <c r="D38" s="235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7"/>
      <c r="Z38" s="237"/>
      <c r="AA38" s="237"/>
      <c r="AB38" s="237"/>
      <c r="AC38" s="238"/>
      <c r="ALC38" s="238"/>
      <c r="ALD38" s="238"/>
      <c r="ALE38" s="238"/>
      <c r="ALF38" s="238"/>
      <c r="ALG38" s="238"/>
      <c r="ALH38" s="238"/>
      <c r="ALI38" s="238"/>
      <c r="ALJ38" s="238"/>
      <c r="ALK38" s="238"/>
      <c r="ALL38" s="238"/>
      <c r="ALO38"/>
      <c r="ALP38"/>
      <c r="ALQ38"/>
      <c r="ALR38"/>
      <c r="ALS38"/>
      <c r="ALT38"/>
      <c r="ALU38"/>
      <c r="ALV38"/>
      <c r="ALW38"/>
    </row>
    <row r="39" spans="1:1011" ht="15" x14ac:dyDescent="0.2">
      <c r="A39" s="239"/>
      <c r="B39" s="843" t="s">
        <v>366</v>
      </c>
      <c r="C39" s="843"/>
      <c r="D39" s="843"/>
      <c r="E39" s="843"/>
      <c r="F39" s="843"/>
      <c r="G39" s="843"/>
      <c r="H39" s="843"/>
      <c r="I39" s="843"/>
      <c r="J39" s="843"/>
      <c r="K39" s="843"/>
      <c r="L39" s="843"/>
      <c r="M39" s="843"/>
      <c r="N39" s="843"/>
      <c r="O39" s="843"/>
      <c r="P39" s="843"/>
      <c r="Q39" s="843"/>
      <c r="R39" s="843"/>
      <c r="S39" s="843"/>
      <c r="T39" s="843"/>
      <c r="U39" s="843"/>
      <c r="V39" s="843"/>
      <c r="W39" s="843"/>
      <c r="X39" s="843"/>
      <c r="Y39" s="240">
        <f>ROUND(Y23+Y37,2)</f>
        <v>260798.28</v>
      </c>
      <c r="Z39" s="240">
        <f>ROUND(Z23+Z37,2)</f>
        <v>98895.08</v>
      </c>
      <c r="AA39" s="241">
        <f>ROUND(AA23+AA37,2)</f>
        <v>2289.0100000000002</v>
      </c>
      <c r="AB39" s="240">
        <f>ROUND(AB23+AB37,2)</f>
        <v>2253.39</v>
      </c>
      <c r="AC39" s="240">
        <f>ROUND(AC23+AC37,2)</f>
        <v>4767.8</v>
      </c>
    </row>
    <row r="40" spans="1:1011" ht="15" x14ac:dyDescent="0.2">
      <c r="A40" s="239"/>
      <c r="B40" s="242"/>
      <c r="C40" s="242"/>
      <c r="D40" s="242"/>
      <c r="E40" s="243"/>
      <c r="F40" s="244"/>
      <c r="G40" s="243"/>
      <c r="H40" s="243"/>
      <c r="I40" s="240"/>
      <c r="J40" s="240"/>
      <c r="K40" s="240"/>
      <c r="L40" s="240"/>
      <c r="M40" s="240"/>
      <c r="N40" s="240"/>
      <c r="O40" s="240"/>
      <c r="P40" s="245"/>
      <c r="Q40" s="246"/>
      <c r="R40" s="243"/>
      <c r="S40" s="244"/>
      <c r="T40" s="243"/>
      <c r="U40" s="243"/>
      <c r="V40" s="240"/>
      <c r="W40" s="240"/>
      <c r="X40" s="240"/>
      <c r="Y40" s="240"/>
      <c r="Z40" s="240"/>
      <c r="AA40" s="784"/>
      <c r="AB40" s="240"/>
      <c r="AC40" s="240"/>
    </row>
    <row r="41" spans="1:1011" x14ac:dyDescent="0.2">
      <c r="A41" s="247"/>
      <c r="B41" s="248"/>
      <c r="C41" s="248"/>
      <c r="D41" s="248"/>
      <c r="E41" s="249"/>
      <c r="F41" s="249"/>
      <c r="G41" s="249"/>
      <c r="H41" s="249"/>
      <c r="I41" s="250"/>
      <c r="J41" s="250"/>
      <c r="K41" s="250"/>
      <c r="L41" s="250"/>
      <c r="M41" s="250"/>
      <c r="N41" s="249"/>
      <c r="O41" s="249"/>
      <c r="P41" s="249"/>
      <c r="Q41" s="250"/>
      <c r="R41" s="250"/>
      <c r="S41" s="249"/>
      <c r="T41" s="249"/>
      <c r="U41" s="249"/>
      <c r="V41" s="250"/>
      <c r="W41" s="250"/>
      <c r="X41" s="250"/>
      <c r="Y41" s="250"/>
      <c r="Z41" s="250"/>
      <c r="AA41" s="249"/>
      <c r="AB41" s="844" t="s">
        <v>59</v>
      </c>
      <c r="AC41" s="245">
        <f>Y39+Z39+AA39+AB39+AC39</f>
        <v>369003.56</v>
      </c>
      <c r="AE41" s="780"/>
    </row>
    <row r="42" spans="1:1011" x14ac:dyDescent="0.2">
      <c r="A42" s="251"/>
      <c r="B42" s="252"/>
      <c r="C42" s="252"/>
      <c r="D42" s="252"/>
      <c r="E42" s="253"/>
      <c r="F42" s="253"/>
      <c r="G42" s="253"/>
      <c r="H42" s="253"/>
      <c r="I42" s="254"/>
      <c r="J42" s="254"/>
      <c r="K42" s="254"/>
      <c r="L42" s="254"/>
      <c r="M42" s="254"/>
      <c r="N42" s="253"/>
      <c r="O42" s="253"/>
      <c r="P42" s="253"/>
      <c r="Q42" s="254"/>
      <c r="R42" s="254"/>
      <c r="S42" s="253"/>
      <c r="T42" s="253"/>
      <c r="U42" s="253"/>
      <c r="V42" s="254"/>
      <c r="W42" s="254"/>
      <c r="X42" s="254"/>
      <c r="Y42" s="254"/>
      <c r="Z42" s="254"/>
      <c r="AA42" s="253"/>
      <c r="AB42" s="844"/>
      <c r="AC42" s="245">
        <f>AC41*12</f>
        <v>4428042.72</v>
      </c>
    </row>
    <row r="44" spans="1:1011" x14ac:dyDescent="0.2">
      <c r="AC44" s="781"/>
    </row>
    <row r="45" spans="1:1011" x14ac:dyDescent="0.2">
      <c r="AC45" s="780"/>
    </row>
  </sheetData>
  <mergeCells count="27">
    <mergeCell ref="B39:X39"/>
    <mergeCell ref="AB41:AB42"/>
    <mergeCell ref="AA3:AA4"/>
    <mergeCell ref="AB3:AB4"/>
    <mergeCell ref="AC3:AC4"/>
    <mergeCell ref="A23:D23"/>
    <mergeCell ref="A37:D37"/>
    <mergeCell ref="S3:T4"/>
    <mergeCell ref="U3:V4"/>
    <mergeCell ref="W3:X4"/>
    <mergeCell ref="Y3:Y4"/>
    <mergeCell ref="Z3:Z4"/>
    <mergeCell ref="I3:J4"/>
    <mergeCell ref="K3:L4"/>
    <mergeCell ref="M3:N4"/>
    <mergeCell ref="O3:P4"/>
    <mergeCell ref="Q3:R4"/>
    <mergeCell ref="A3:A5"/>
    <mergeCell ref="B3:B5"/>
    <mergeCell ref="D3:D5"/>
    <mergeCell ref="E3:F4"/>
    <mergeCell ref="G3:H4"/>
    <mergeCell ref="A1:AC1"/>
    <mergeCell ref="A2:B2"/>
    <mergeCell ref="E2:L2"/>
    <mergeCell ref="M2:R2"/>
    <mergeCell ref="S2:X2"/>
  </mergeCells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AD47"/>
  </sheetPr>
  <dimension ref="A1:ALZ68"/>
  <sheetViews>
    <sheetView zoomScale="80" zoomScaleNormal="80" workbookViewId="0">
      <pane xSplit="2" ySplit="3" topLeftCell="Q36" activePane="bottomRight" state="frozen"/>
      <selection pane="topRight" activeCell="C1" sqref="C1"/>
      <selection pane="bottomLeft" activeCell="A4" sqref="A4"/>
      <selection pane="bottomRight" activeCell="Q36" sqref="Q36:Q37"/>
    </sheetView>
  </sheetViews>
  <sheetFormatPr defaultRowHeight="15" x14ac:dyDescent="0.25"/>
  <cols>
    <col min="1" max="1" width="22.375" style="238" customWidth="1"/>
    <col min="2" max="2" width="8" style="238" customWidth="1"/>
    <col min="3" max="20" width="9" style="238" customWidth="1"/>
    <col min="21" max="1001" width="9" style="195" customWidth="1"/>
    <col min="1002" max="1014" width="9" style="238" customWidth="1"/>
  </cols>
  <sheetData>
    <row r="1" spans="1:1003" x14ac:dyDescent="0.25">
      <c r="A1" s="195"/>
      <c r="B1" s="195"/>
      <c r="C1" s="861" t="s">
        <v>303</v>
      </c>
      <c r="D1" s="861"/>
      <c r="E1" s="861"/>
      <c r="F1" s="861"/>
      <c r="G1" s="862" t="s">
        <v>304</v>
      </c>
      <c r="H1" s="862"/>
      <c r="I1" s="862"/>
      <c r="J1" s="863" t="s">
        <v>305</v>
      </c>
      <c r="K1" s="863"/>
      <c r="L1" s="863"/>
      <c r="M1" s="195"/>
      <c r="N1" s="195"/>
      <c r="O1" s="195"/>
      <c r="P1" s="195"/>
      <c r="Q1" s="195"/>
      <c r="R1" s="195"/>
      <c r="S1" s="195"/>
      <c r="T1" s="195"/>
    </row>
    <row r="2" spans="1:1003" ht="55.5" customHeight="1" x14ac:dyDescent="0.25">
      <c r="A2" s="855" t="s">
        <v>312</v>
      </c>
      <c r="B2" s="856" t="s">
        <v>77</v>
      </c>
      <c r="C2" s="857" t="s">
        <v>314</v>
      </c>
      <c r="D2" s="842" t="s">
        <v>315</v>
      </c>
      <c r="E2" s="841" t="s">
        <v>316</v>
      </c>
      <c r="F2" s="864" t="s">
        <v>317</v>
      </c>
      <c r="G2" s="865" t="s">
        <v>318</v>
      </c>
      <c r="H2" s="837" t="s">
        <v>367</v>
      </c>
      <c r="I2" s="866" t="s">
        <v>320</v>
      </c>
      <c r="J2" s="867" t="s">
        <v>321</v>
      </c>
      <c r="K2" s="850" t="s">
        <v>322</v>
      </c>
      <c r="L2" s="868" t="s">
        <v>323</v>
      </c>
      <c r="M2" s="858" t="s">
        <v>368</v>
      </c>
      <c r="N2" s="859" t="s">
        <v>369</v>
      </c>
      <c r="O2" s="859"/>
      <c r="P2" s="860" t="s">
        <v>370</v>
      </c>
      <c r="Q2" s="860"/>
      <c r="R2" s="256" t="s">
        <v>371</v>
      </c>
      <c r="S2" s="634" t="s">
        <v>372</v>
      </c>
      <c r="T2" s="627" t="s">
        <v>373</v>
      </c>
      <c r="ALN2" s="195"/>
      <c r="ALO2" s="195"/>
    </row>
    <row r="3" spans="1:1003" ht="26.25" customHeight="1" x14ac:dyDescent="0.25">
      <c r="A3" s="855"/>
      <c r="B3" s="856"/>
      <c r="C3" s="857"/>
      <c r="D3" s="842"/>
      <c r="E3" s="841"/>
      <c r="F3" s="864"/>
      <c r="G3" s="865"/>
      <c r="H3" s="837"/>
      <c r="I3" s="866"/>
      <c r="J3" s="867"/>
      <c r="K3" s="850"/>
      <c r="L3" s="868"/>
      <c r="M3" s="858"/>
      <c r="N3" s="258" t="s">
        <v>374</v>
      </c>
      <c r="O3" s="255" t="s">
        <v>375</v>
      </c>
      <c r="P3" s="259" t="s">
        <v>374</v>
      </c>
      <c r="Q3" s="260" t="s">
        <v>375</v>
      </c>
      <c r="R3" s="261" t="s">
        <v>376</v>
      </c>
      <c r="S3" s="262" t="s">
        <v>376</v>
      </c>
      <c r="T3" s="628" t="s">
        <v>377</v>
      </c>
      <c r="ALN3" s="195"/>
      <c r="ALO3" s="195"/>
    </row>
    <row r="4" spans="1:1003" ht="26.25" x14ac:dyDescent="0.25">
      <c r="A4" s="60" t="s">
        <v>83</v>
      </c>
      <c r="B4" s="263">
        <f>'Resumo Proposta'!D6</f>
        <v>0.02</v>
      </c>
      <c r="C4" s="264">
        <v>995</v>
      </c>
      <c r="D4" s="265">
        <v>155</v>
      </c>
      <c r="E4" s="265">
        <v>5</v>
      </c>
      <c r="F4" s="265">
        <v>32</v>
      </c>
      <c r="G4" s="265">
        <v>27</v>
      </c>
      <c r="H4" s="265">
        <v>1817</v>
      </c>
      <c r="I4" s="265">
        <v>692</v>
      </c>
      <c r="J4" s="265">
        <v>82</v>
      </c>
      <c r="K4" s="265">
        <v>172</v>
      </c>
      <c r="L4" s="266">
        <v>254</v>
      </c>
      <c r="M4" s="267">
        <f t="shared" ref="M4:M20" si="0">C4/$C$22+D4/$D$22+E4/$E$22+F4/$F$22+G4/$G$22+H4/$H$22+I4/$I$22+K4/$K$22*16*1/188.76+L4/$L$22*16*1/188.76</f>
        <v>1.493651857589513</v>
      </c>
      <c r="N4" s="268">
        <v>1</v>
      </c>
      <c r="O4" s="269">
        <v>1</v>
      </c>
      <c r="P4" s="546"/>
      <c r="Q4" s="546"/>
      <c r="R4" s="270">
        <v>3</v>
      </c>
      <c r="S4" s="271">
        <v>3</v>
      </c>
      <c r="T4" s="629">
        <v>10</v>
      </c>
    </row>
    <row r="5" spans="1:1003" x14ac:dyDescent="0.25">
      <c r="A5" s="62" t="s">
        <v>85</v>
      </c>
      <c r="B5" s="263">
        <f>'Resumo Proposta'!D7</f>
        <v>0.02</v>
      </c>
      <c r="C5" s="264">
        <v>577</v>
      </c>
      <c r="D5" s="265">
        <v>577</v>
      </c>
      <c r="E5" s="265">
        <v>542</v>
      </c>
      <c r="F5" s="265">
        <v>80</v>
      </c>
      <c r="G5" s="265">
        <v>14</v>
      </c>
      <c r="H5" s="265"/>
      <c r="I5" s="265"/>
      <c r="J5" s="265">
        <v>204</v>
      </c>
      <c r="K5" s="265">
        <v>291</v>
      </c>
      <c r="L5" s="266">
        <v>495</v>
      </c>
      <c r="M5" s="267">
        <f t="shared" si="0"/>
        <v>1.7937131051652582</v>
      </c>
      <c r="N5" s="272"/>
      <c r="O5" s="273">
        <v>2</v>
      </c>
      <c r="P5" s="277"/>
      <c r="Q5" s="547"/>
      <c r="R5" s="274">
        <v>3</v>
      </c>
      <c r="S5" s="275">
        <v>3</v>
      </c>
      <c r="T5" s="630"/>
    </row>
    <row r="6" spans="1:1003" x14ac:dyDescent="0.25">
      <c r="A6" s="62" t="s">
        <v>87</v>
      </c>
      <c r="B6" s="263">
        <f>'Resumo Proposta'!D8</f>
        <v>0.02</v>
      </c>
      <c r="C6" s="264">
        <v>694</v>
      </c>
      <c r="D6" s="265">
        <v>817</v>
      </c>
      <c r="E6" s="265">
        <v>1420</v>
      </c>
      <c r="F6" s="265">
        <v>76</v>
      </c>
      <c r="G6" s="265">
        <v>50</v>
      </c>
      <c r="H6" s="265">
        <v>110</v>
      </c>
      <c r="I6" s="265">
        <v>96</v>
      </c>
      <c r="J6" s="265">
        <v>102</v>
      </c>
      <c r="K6" s="265">
        <v>546</v>
      </c>
      <c r="L6" s="266">
        <v>648</v>
      </c>
      <c r="M6" s="267">
        <f t="shared" si="0"/>
        <v>2.8218738562164396</v>
      </c>
      <c r="N6" s="276">
        <v>1</v>
      </c>
      <c r="O6" s="273">
        <v>2</v>
      </c>
      <c r="P6" s="547"/>
      <c r="Q6" s="277">
        <v>1</v>
      </c>
      <c r="R6" s="274">
        <v>3</v>
      </c>
      <c r="S6" s="275">
        <v>3</v>
      </c>
      <c r="T6" s="631"/>
    </row>
    <row r="7" spans="1:1003" x14ac:dyDescent="0.25">
      <c r="A7" s="62" t="s">
        <v>89</v>
      </c>
      <c r="B7" s="263">
        <f>'Resumo Proposta'!D9</f>
        <v>0.03</v>
      </c>
      <c r="C7" s="264">
        <v>658</v>
      </c>
      <c r="D7" s="265">
        <v>93</v>
      </c>
      <c r="E7" s="265"/>
      <c r="F7" s="265">
        <v>83</v>
      </c>
      <c r="G7" s="265">
        <v>63</v>
      </c>
      <c r="H7" s="265">
        <v>126</v>
      </c>
      <c r="I7" s="265"/>
      <c r="J7" s="265">
        <v>136</v>
      </c>
      <c r="K7" s="265">
        <v>10</v>
      </c>
      <c r="L7" s="266">
        <v>146</v>
      </c>
      <c r="M7" s="267">
        <f t="shared" si="0"/>
        <v>1.1136688492581319</v>
      </c>
      <c r="N7" s="272"/>
      <c r="O7" s="273">
        <v>1</v>
      </c>
      <c r="P7" s="277">
        <v>1</v>
      </c>
      <c r="Q7" s="547"/>
      <c r="R7" s="274">
        <v>3</v>
      </c>
      <c r="S7" s="275">
        <v>3</v>
      </c>
      <c r="T7" s="631"/>
    </row>
    <row r="8" spans="1:1003" x14ac:dyDescent="0.25">
      <c r="A8" s="62" t="s">
        <v>91</v>
      </c>
      <c r="B8" s="263">
        <f>'Resumo Proposta'!D10</f>
        <v>0.03</v>
      </c>
      <c r="C8" s="264">
        <v>707</v>
      </c>
      <c r="D8" s="265">
        <v>299</v>
      </c>
      <c r="E8" s="265">
        <v>800</v>
      </c>
      <c r="F8" s="265">
        <v>47</v>
      </c>
      <c r="G8" s="265"/>
      <c r="H8" s="265"/>
      <c r="I8" s="265">
        <v>71</v>
      </c>
      <c r="J8" s="265">
        <v>86</v>
      </c>
      <c r="K8" s="265">
        <v>85</v>
      </c>
      <c r="L8" s="266">
        <v>171</v>
      </c>
      <c r="M8" s="267">
        <f t="shared" si="0"/>
        <v>1.7720997070446831</v>
      </c>
      <c r="N8" s="272"/>
      <c r="O8" s="273">
        <v>2</v>
      </c>
      <c r="P8" s="547"/>
      <c r="Q8" s="277">
        <v>1</v>
      </c>
      <c r="R8" s="274">
        <v>3</v>
      </c>
      <c r="S8" s="275">
        <v>3</v>
      </c>
      <c r="T8" s="631"/>
      <c r="U8" s="278"/>
    </row>
    <row r="9" spans="1:1003" x14ac:dyDescent="0.25">
      <c r="A9" s="62" t="s">
        <v>93</v>
      </c>
      <c r="B9" s="263">
        <f>'Resumo Proposta'!D11</f>
        <v>0.05</v>
      </c>
      <c r="C9" s="264">
        <v>396</v>
      </c>
      <c r="D9" s="265">
        <v>74</v>
      </c>
      <c r="E9" s="265">
        <v>398</v>
      </c>
      <c r="F9" s="265">
        <v>51</v>
      </c>
      <c r="G9" s="265">
        <v>54</v>
      </c>
      <c r="H9" s="265">
        <v>263</v>
      </c>
      <c r="I9" s="265">
        <v>139</v>
      </c>
      <c r="J9" s="265" t="s">
        <v>378</v>
      </c>
      <c r="K9" s="265">
        <v>80</v>
      </c>
      <c r="L9" s="266">
        <v>80</v>
      </c>
      <c r="M9" s="267">
        <f t="shared" si="0"/>
        <v>1.0269182784413886</v>
      </c>
      <c r="N9" s="276">
        <v>1</v>
      </c>
      <c r="O9" s="279"/>
      <c r="P9" s="277">
        <v>1</v>
      </c>
      <c r="Q9" s="547"/>
      <c r="R9" s="274">
        <v>3</v>
      </c>
      <c r="S9" s="275">
        <v>3</v>
      </c>
      <c r="T9" s="631"/>
    </row>
    <row r="10" spans="1:1003" x14ac:dyDescent="0.25">
      <c r="A10" s="62" t="s">
        <v>95</v>
      </c>
      <c r="B10" s="263">
        <f>'Resumo Proposta'!D12</f>
        <v>0.03</v>
      </c>
      <c r="C10" s="264">
        <v>524</v>
      </c>
      <c r="D10" s="265">
        <v>97</v>
      </c>
      <c r="E10" s="265">
        <v>288</v>
      </c>
      <c r="F10" s="265">
        <v>54</v>
      </c>
      <c r="G10" s="265">
        <v>167</v>
      </c>
      <c r="H10" s="265">
        <v>244</v>
      </c>
      <c r="I10" s="265">
        <v>344</v>
      </c>
      <c r="J10" s="265" t="s">
        <v>378</v>
      </c>
      <c r="K10" s="265">
        <v>182</v>
      </c>
      <c r="L10" s="266">
        <v>182</v>
      </c>
      <c r="M10" s="267">
        <f t="shared" si="0"/>
        <v>1.2159694801778054</v>
      </c>
      <c r="N10" s="272"/>
      <c r="O10" s="273">
        <v>1</v>
      </c>
      <c r="P10" s="547"/>
      <c r="Q10" s="547"/>
      <c r="R10" s="274">
        <v>3</v>
      </c>
      <c r="S10" s="275">
        <v>3</v>
      </c>
      <c r="T10" s="631"/>
    </row>
    <row r="11" spans="1:1003" x14ac:dyDescent="0.25">
      <c r="A11" s="62" t="s">
        <v>97</v>
      </c>
      <c r="B11" s="263">
        <f>'Resumo Proposta'!D13</f>
        <v>0.04</v>
      </c>
      <c r="C11" s="264">
        <v>661</v>
      </c>
      <c r="D11" s="265">
        <v>290</v>
      </c>
      <c r="E11" s="265">
        <v>1237</v>
      </c>
      <c r="F11" s="265">
        <v>65</v>
      </c>
      <c r="G11" s="265">
        <v>196</v>
      </c>
      <c r="H11" s="265">
        <v>93</v>
      </c>
      <c r="I11" s="265">
        <v>824</v>
      </c>
      <c r="J11" s="265">
        <v>129</v>
      </c>
      <c r="K11" s="265">
        <v>5</v>
      </c>
      <c r="L11" s="266">
        <v>134</v>
      </c>
      <c r="M11" s="267">
        <f t="shared" si="0"/>
        <v>2.243733397736412</v>
      </c>
      <c r="N11" s="272"/>
      <c r="O11" s="273">
        <v>1</v>
      </c>
      <c r="P11" s="277">
        <v>1</v>
      </c>
      <c r="Q11" s="547"/>
      <c r="R11" s="274">
        <v>3</v>
      </c>
      <c r="S11" s="275">
        <v>3</v>
      </c>
      <c r="T11" s="631"/>
      <c r="U11" s="278"/>
    </row>
    <row r="12" spans="1:1003" x14ac:dyDescent="0.25">
      <c r="A12" s="62" t="s">
        <v>99</v>
      </c>
      <c r="B12" s="263">
        <f>'Resumo Proposta'!D14</f>
        <v>0.02</v>
      </c>
      <c r="C12" s="264">
        <v>498</v>
      </c>
      <c r="D12" s="265">
        <v>687</v>
      </c>
      <c r="E12" s="265">
        <v>536</v>
      </c>
      <c r="F12" s="265">
        <v>97</v>
      </c>
      <c r="G12" s="265">
        <v>71</v>
      </c>
      <c r="H12" s="265"/>
      <c r="I12" s="265">
        <v>323</v>
      </c>
      <c r="J12" s="265">
        <v>23</v>
      </c>
      <c r="K12" s="265">
        <v>223</v>
      </c>
      <c r="L12" s="266">
        <v>246</v>
      </c>
      <c r="M12" s="267">
        <f t="shared" si="0"/>
        <v>1.7992758210246249</v>
      </c>
      <c r="N12" s="272"/>
      <c r="O12" s="273">
        <v>2</v>
      </c>
      <c r="P12" s="277">
        <v>1</v>
      </c>
      <c r="Q12" s="547"/>
      <c r="R12" s="274">
        <v>3</v>
      </c>
      <c r="S12" s="275">
        <v>3</v>
      </c>
      <c r="T12" s="631"/>
      <c r="U12" s="278"/>
    </row>
    <row r="13" spans="1:1003" x14ac:dyDescent="0.25">
      <c r="A13" s="62" t="s">
        <v>101</v>
      </c>
      <c r="B13" s="263">
        <f>'Resumo Proposta'!D15</f>
        <v>0.03</v>
      </c>
      <c r="C13" s="264">
        <v>629</v>
      </c>
      <c r="D13" s="265">
        <v>65</v>
      </c>
      <c r="E13" s="265">
        <v>697</v>
      </c>
      <c r="F13" s="265">
        <v>85</v>
      </c>
      <c r="G13" s="265">
        <v>76</v>
      </c>
      <c r="H13" s="265">
        <v>627</v>
      </c>
      <c r="I13" s="265">
        <v>53</v>
      </c>
      <c r="J13" s="265">
        <v>143</v>
      </c>
      <c r="K13" s="265">
        <v>46</v>
      </c>
      <c r="L13" s="266">
        <v>97</v>
      </c>
      <c r="M13" s="267">
        <f t="shared" si="0"/>
        <v>1.6230810320478744</v>
      </c>
      <c r="N13" s="276">
        <v>1</v>
      </c>
      <c r="O13" s="273">
        <v>1</v>
      </c>
      <c r="P13" s="547"/>
      <c r="Q13" s="277">
        <v>1</v>
      </c>
      <c r="R13" s="274">
        <v>3</v>
      </c>
      <c r="S13" s="275">
        <v>3</v>
      </c>
      <c r="T13" s="631"/>
    </row>
    <row r="14" spans="1:1003" x14ac:dyDescent="0.25">
      <c r="A14" s="62" t="s">
        <v>103</v>
      </c>
      <c r="B14" s="263">
        <f>'Resumo Proposta'!D16</f>
        <v>0.03</v>
      </c>
      <c r="C14" s="264">
        <v>617</v>
      </c>
      <c r="D14" s="265">
        <v>79</v>
      </c>
      <c r="E14" s="265">
        <v>629</v>
      </c>
      <c r="F14" s="265">
        <v>62</v>
      </c>
      <c r="G14" s="265">
        <v>46</v>
      </c>
      <c r="H14" s="265">
        <v>490</v>
      </c>
      <c r="I14" s="265">
        <v>225</v>
      </c>
      <c r="J14" s="265">
        <v>156</v>
      </c>
      <c r="K14" s="265">
        <v>248</v>
      </c>
      <c r="L14" s="266">
        <v>404</v>
      </c>
      <c r="M14" s="267">
        <f t="shared" si="0"/>
        <v>1.6079421135660366</v>
      </c>
      <c r="N14" s="276">
        <v>1</v>
      </c>
      <c r="O14" s="273">
        <v>1</v>
      </c>
      <c r="P14" s="277">
        <v>1</v>
      </c>
      <c r="Q14" s="547"/>
      <c r="R14" s="274">
        <v>3</v>
      </c>
      <c r="S14" s="275">
        <v>3</v>
      </c>
      <c r="T14" s="631"/>
    </row>
    <row r="15" spans="1:1003" x14ac:dyDescent="0.25">
      <c r="A15" s="62" t="s">
        <v>105</v>
      </c>
      <c r="B15" s="263">
        <f>'Resumo Proposta'!D17</f>
        <v>0.03</v>
      </c>
      <c r="C15" s="264">
        <v>403</v>
      </c>
      <c r="D15" s="265">
        <v>42</v>
      </c>
      <c r="E15" s="265">
        <v>675</v>
      </c>
      <c r="F15" s="265">
        <v>69</v>
      </c>
      <c r="G15" s="265">
        <v>61</v>
      </c>
      <c r="H15" s="265">
        <v>39</v>
      </c>
      <c r="I15" s="265">
        <v>138</v>
      </c>
      <c r="J15" s="265">
        <v>153</v>
      </c>
      <c r="K15" s="265">
        <v>50</v>
      </c>
      <c r="L15" s="266">
        <v>103</v>
      </c>
      <c r="M15" s="267">
        <f t="shared" si="0"/>
        <v>1.2904530238094354</v>
      </c>
      <c r="N15" s="272"/>
      <c r="O15" s="273">
        <v>1</v>
      </c>
      <c r="P15" s="277">
        <v>1</v>
      </c>
      <c r="Q15" s="547"/>
      <c r="R15" s="274">
        <v>3</v>
      </c>
      <c r="S15" s="275">
        <v>3</v>
      </c>
      <c r="T15" s="631"/>
    </row>
    <row r="16" spans="1:1003" x14ac:dyDescent="0.25">
      <c r="A16" s="62" t="s">
        <v>107</v>
      </c>
      <c r="B16" s="263">
        <f>'Resumo Proposta'!D18</f>
        <v>0.03</v>
      </c>
      <c r="C16" s="264">
        <v>506</v>
      </c>
      <c r="D16" s="265">
        <v>76</v>
      </c>
      <c r="E16" s="265"/>
      <c r="F16" s="265">
        <v>41</v>
      </c>
      <c r="G16" s="265">
        <v>96</v>
      </c>
      <c r="H16" s="265">
        <v>132</v>
      </c>
      <c r="I16" s="265">
        <v>851</v>
      </c>
      <c r="J16" s="265" t="s">
        <v>378</v>
      </c>
      <c r="K16" s="265">
        <v>269</v>
      </c>
      <c r="L16" s="266">
        <v>269</v>
      </c>
      <c r="M16" s="267">
        <f t="shared" si="0"/>
        <v>0.98832758412241661</v>
      </c>
      <c r="N16" s="272"/>
      <c r="O16" s="273">
        <v>1</v>
      </c>
      <c r="P16" s="547"/>
      <c r="Q16" s="277">
        <v>1</v>
      </c>
      <c r="R16" s="274">
        <v>3</v>
      </c>
      <c r="S16" s="275">
        <v>3</v>
      </c>
      <c r="T16" s="631"/>
    </row>
    <row r="17" spans="1:20" x14ac:dyDescent="0.25">
      <c r="A17" s="62" t="s">
        <v>109</v>
      </c>
      <c r="B17" s="263">
        <f>'Resumo Proposta'!D19</f>
        <v>0.02</v>
      </c>
      <c r="C17" s="264">
        <v>399</v>
      </c>
      <c r="D17" s="265">
        <v>24</v>
      </c>
      <c r="E17" s="265"/>
      <c r="F17" s="265">
        <v>37</v>
      </c>
      <c r="G17" s="265">
        <v>36</v>
      </c>
      <c r="H17" s="265">
        <v>132</v>
      </c>
      <c r="I17" s="265">
        <v>446</v>
      </c>
      <c r="J17" s="265" t="s">
        <v>378</v>
      </c>
      <c r="K17" s="265">
        <v>178</v>
      </c>
      <c r="L17" s="266">
        <v>178</v>
      </c>
      <c r="M17" s="267">
        <f t="shared" si="0"/>
        <v>0.72228577850644837</v>
      </c>
      <c r="N17" s="276">
        <v>1</v>
      </c>
      <c r="O17" s="279"/>
      <c r="P17" s="277">
        <v>1</v>
      </c>
      <c r="Q17" s="547"/>
      <c r="R17" s="280">
        <v>3</v>
      </c>
      <c r="S17" s="281">
        <v>3</v>
      </c>
      <c r="T17" s="632"/>
    </row>
    <row r="18" spans="1:20" x14ac:dyDescent="0.25">
      <c r="A18" s="62" t="s">
        <v>111</v>
      </c>
      <c r="B18" s="263">
        <f>'Resumo Proposta'!D20</f>
        <v>0.03</v>
      </c>
      <c r="C18" s="264">
        <v>375</v>
      </c>
      <c r="D18" s="265">
        <v>42</v>
      </c>
      <c r="E18" s="265">
        <v>288</v>
      </c>
      <c r="F18" s="265">
        <v>81</v>
      </c>
      <c r="G18" s="265">
        <v>96</v>
      </c>
      <c r="H18" s="265">
        <v>1275</v>
      </c>
      <c r="I18" s="265">
        <v>526</v>
      </c>
      <c r="J18" s="265">
        <v>148</v>
      </c>
      <c r="K18" s="265">
        <v>36</v>
      </c>
      <c r="L18" s="266">
        <v>112</v>
      </c>
      <c r="M18" s="267">
        <f t="shared" si="0"/>
        <v>1.0689683669599936</v>
      </c>
      <c r="N18" s="272"/>
      <c r="O18" s="273">
        <v>1</v>
      </c>
      <c r="P18" s="277">
        <v>1</v>
      </c>
      <c r="Q18" s="547"/>
      <c r="R18" s="274">
        <v>3</v>
      </c>
      <c r="S18" s="275">
        <v>3</v>
      </c>
      <c r="T18" s="631"/>
    </row>
    <row r="19" spans="1:20" x14ac:dyDescent="0.25">
      <c r="A19" s="62" t="s">
        <v>113</v>
      </c>
      <c r="B19" s="263">
        <f>'Resumo Proposta'!D21</f>
        <v>0.03</v>
      </c>
      <c r="C19" s="264">
        <v>294</v>
      </c>
      <c r="D19" s="265">
        <v>40</v>
      </c>
      <c r="E19" s="265"/>
      <c r="F19" s="265">
        <v>25</v>
      </c>
      <c r="G19" s="265">
        <v>40</v>
      </c>
      <c r="H19" s="265">
        <v>384</v>
      </c>
      <c r="I19" s="265">
        <v>350</v>
      </c>
      <c r="J19" s="265" t="s">
        <v>378</v>
      </c>
      <c r="K19" s="265">
        <v>236</v>
      </c>
      <c r="L19" s="266">
        <v>236</v>
      </c>
      <c r="M19" s="267">
        <f t="shared" si="0"/>
        <v>0.5928291678408425</v>
      </c>
      <c r="N19" s="276">
        <v>1</v>
      </c>
      <c r="O19" s="279"/>
      <c r="P19" s="547"/>
      <c r="Q19" s="547"/>
      <c r="R19" s="274">
        <v>3</v>
      </c>
      <c r="S19" s="275">
        <v>3</v>
      </c>
      <c r="T19" s="632"/>
    </row>
    <row r="20" spans="1:20" x14ac:dyDescent="0.25">
      <c r="A20" s="282" t="s">
        <v>114</v>
      </c>
      <c r="B20" s="263">
        <f>'Resumo Proposta'!D22</f>
        <v>0.03</v>
      </c>
      <c r="C20" s="283">
        <v>313</v>
      </c>
      <c r="D20" s="284">
        <v>21</v>
      </c>
      <c r="E20" s="284"/>
      <c r="F20" s="284">
        <v>25</v>
      </c>
      <c r="G20" s="284">
        <v>36</v>
      </c>
      <c r="H20" s="284">
        <v>127</v>
      </c>
      <c r="I20" s="284">
        <v>74</v>
      </c>
      <c r="J20" s="284" t="s">
        <v>378</v>
      </c>
      <c r="K20" s="284">
        <v>236</v>
      </c>
      <c r="L20" s="285">
        <v>236</v>
      </c>
      <c r="M20" s="267">
        <f t="shared" si="0"/>
        <v>0.5697221308038054</v>
      </c>
      <c r="N20" s="276">
        <v>1</v>
      </c>
      <c r="O20" s="279"/>
      <c r="P20" s="548"/>
      <c r="Q20" s="547"/>
      <c r="R20" s="274">
        <v>3</v>
      </c>
      <c r="S20" s="275">
        <v>3</v>
      </c>
      <c r="T20" s="631"/>
    </row>
    <row r="21" spans="1:20" x14ac:dyDescent="0.25">
      <c r="A21" s="286" t="s">
        <v>379</v>
      </c>
      <c r="B21" s="286"/>
      <c r="C21" s="287">
        <f t="shared" ref="C21:T21" si="1">SUM(C4:C20)</f>
        <v>9246</v>
      </c>
      <c r="D21" s="288">
        <f t="shared" si="1"/>
        <v>3478</v>
      </c>
      <c r="E21" s="288">
        <f t="shared" si="1"/>
        <v>7515</v>
      </c>
      <c r="F21" s="288">
        <f t="shared" si="1"/>
        <v>1010</v>
      </c>
      <c r="G21" s="288">
        <f t="shared" si="1"/>
        <v>1129</v>
      </c>
      <c r="H21" s="288">
        <f t="shared" si="1"/>
        <v>5859</v>
      </c>
      <c r="I21" s="288">
        <f t="shared" si="1"/>
        <v>5152</v>
      </c>
      <c r="J21" s="288">
        <f t="shared" si="1"/>
        <v>1362</v>
      </c>
      <c r="K21" s="288">
        <f t="shared" si="1"/>
        <v>2893</v>
      </c>
      <c r="L21" s="289">
        <f t="shared" si="1"/>
        <v>3991</v>
      </c>
      <c r="M21" s="290">
        <f t="shared" si="1"/>
        <v>23.744513550311105</v>
      </c>
      <c r="N21" s="291">
        <f t="shared" si="1"/>
        <v>8</v>
      </c>
      <c r="O21" s="292">
        <f t="shared" si="1"/>
        <v>17</v>
      </c>
      <c r="P21" s="293">
        <f t="shared" si="1"/>
        <v>8</v>
      </c>
      <c r="Q21" s="294">
        <f t="shared" si="1"/>
        <v>4</v>
      </c>
      <c r="R21" s="295">
        <f t="shared" si="1"/>
        <v>51</v>
      </c>
      <c r="S21" s="635">
        <f t="shared" si="1"/>
        <v>51</v>
      </c>
      <c r="T21" s="633">
        <f t="shared" si="1"/>
        <v>10</v>
      </c>
    </row>
    <row r="22" spans="1:20" x14ac:dyDescent="0.25">
      <c r="A22" s="297" t="s">
        <v>380</v>
      </c>
      <c r="B22" s="235"/>
      <c r="C22" s="298">
        <v>900</v>
      </c>
      <c r="D22" s="299">
        <v>2000</v>
      </c>
      <c r="E22" s="299">
        <v>1300</v>
      </c>
      <c r="F22" s="299">
        <v>300</v>
      </c>
      <c r="G22" s="299">
        <v>2700</v>
      </c>
      <c r="H22" s="299">
        <v>100000</v>
      </c>
      <c r="I22" s="299">
        <v>9000</v>
      </c>
      <c r="J22" s="299">
        <v>160</v>
      </c>
      <c r="K22" s="299">
        <v>380</v>
      </c>
      <c r="L22" s="300">
        <v>380</v>
      </c>
      <c r="M22" s="301"/>
      <c r="N22" s="302" t="s">
        <v>381</v>
      </c>
      <c r="O22" s="303">
        <f>N21+O21</f>
        <v>25</v>
      </c>
      <c r="P22" s="304" t="s">
        <v>381</v>
      </c>
      <c r="Q22" s="305">
        <f>P21+Q21</f>
        <v>12</v>
      </c>
      <c r="R22" s="306"/>
      <c r="S22" s="306"/>
      <c r="T22" s="306"/>
    </row>
    <row r="23" spans="1:20" x14ac:dyDescent="0.25">
      <c r="A23" s="307" t="s">
        <v>382</v>
      </c>
      <c r="B23" s="307"/>
      <c r="C23" s="308">
        <f t="shared" ref="C23:I23" si="2">C21/C22</f>
        <v>10.273333333333333</v>
      </c>
      <c r="D23" s="309">
        <f t="shared" si="2"/>
        <v>1.7390000000000001</v>
      </c>
      <c r="E23" s="309">
        <f t="shared" si="2"/>
        <v>5.7807692307692307</v>
      </c>
      <c r="F23" s="309">
        <f t="shared" si="2"/>
        <v>3.3666666666666667</v>
      </c>
      <c r="G23" s="309">
        <f t="shared" si="2"/>
        <v>0.41814814814814816</v>
      </c>
      <c r="H23" s="309">
        <f t="shared" si="2"/>
        <v>5.8590000000000003E-2</v>
      </c>
      <c r="I23" s="309">
        <f t="shared" si="2"/>
        <v>0.57244444444444442</v>
      </c>
      <c r="J23" s="309">
        <f>1/J22*8*1/1132.6*J21</f>
        <v>6.0127141091294377E-2</v>
      </c>
      <c r="K23" s="309">
        <f>1/K22*16*1/188.76*K21</f>
        <v>0.64531959268801375</v>
      </c>
      <c r="L23" s="310">
        <f>1/L22*16*1/188.76*L21</f>
        <v>0.89024213426127308</v>
      </c>
      <c r="M23" s="311">
        <f>SUM(C23:L23)-J23</f>
        <v>23.744513550311112</v>
      </c>
      <c r="N23" s="312" t="s">
        <v>383</v>
      </c>
      <c r="O23" s="313">
        <f>O21+(N21*0.85)</f>
        <v>23.8</v>
      </c>
      <c r="P23" s="314"/>
      <c r="Q23" s="237"/>
      <c r="R23" s="237"/>
      <c r="S23" s="237"/>
      <c r="T23" s="237"/>
    </row>
    <row r="24" spans="1:20" ht="13.9" hidden="1" customHeight="1" x14ac:dyDescent="0.25">
      <c r="A24" s="315" t="s">
        <v>384</v>
      </c>
      <c r="B24" s="315"/>
      <c r="C24" s="316">
        <f t="shared" ref="C24:I24" si="3">ROUND(1/C22,9)</f>
        <v>1.1111109999999999E-3</v>
      </c>
      <c r="D24" s="317">
        <f t="shared" si="3"/>
        <v>5.0000000000000001E-4</v>
      </c>
      <c r="E24" s="317">
        <f t="shared" si="3"/>
        <v>7.6923099999999999E-4</v>
      </c>
      <c r="F24" s="317">
        <f t="shared" si="3"/>
        <v>3.333333E-3</v>
      </c>
      <c r="G24" s="317">
        <f t="shared" si="3"/>
        <v>3.7037000000000002E-4</v>
      </c>
      <c r="H24" s="317">
        <f t="shared" si="3"/>
        <v>1.0000000000000001E-5</v>
      </c>
      <c r="I24" s="317">
        <f t="shared" si="3"/>
        <v>1.11111E-4</v>
      </c>
      <c r="J24" s="318">
        <f>(1/J22)*(1/L32)*8</f>
        <v>4.8611111111111115E-5</v>
      </c>
      <c r="K24" s="318">
        <f>(1/K22)*(1/L31)*16</f>
        <v>2.4561403508771931E-4</v>
      </c>
      <c r="L24" s="319">
        <f>(1/L22)*(1/L31)*16</f>
        <v>2.4561403508771931E-4</v>
      </c>
    </row>
    <row r="25" spans="1:20" ht="13.9" hidden="1" customHeight="1" x14ac:dyDescent="0.25">
      <c r="A25" s="320" t="s">
        <v>385</v>
      </c>
      <c r="B25" s="320"/>
      <c r="C25" s="321" t="e">
        <f>C24/#REF!</f>
        <v>#REF!</v>
      </c>
      <c r="D25" s="322" t="e">
        <f>D24/#REF!</f>
        <v>#REF!</v>
      </c>
      <c r="E25" s="322" t="e">
        <f>E24/#REF!</f>
        <v>#REF!</v>
      </c>
      <c r="F25" s="322" t="e">
        <f>F24/#REF!</f>
        <v>#REF!</v>
      </c>
      <c r="G25" s="322" t="e">
        <f>G24/#REF!</f>
        <v>#REF!</v>
      </c>
      <c r="H25" s="322" t="e">
        <f>H24/#REF!</f>
        <v>#REF!</v>
      </c>
      <c r="I25" s="322" t="e">
        <f>I24/#REF!</f>
        <v>#REF!</v>
      </c>
      <c r="J25" s="323" t="e">
        <f>J24/#REF!</f>
        <v>#REF!</v>
      </c>
      <c r="K25" s="323" t="e">
        <f>K24/#REF!</f>
        <v>#REF!</v>
      </c>
      <c r="L25" s="324" t="e">
        <f>L24/#REF!</f>
        <v>#REF!</v>
      </c>
    </row>
    <row r="26" spans="1:20" ht="13.9" hidden="1" customHeight="1" x14ac:dyDescent="0.25">
      <c r="A26" s="325" t="s">
        <v>386</v>
      </c>
      <c r="B26" s="325"/>
      <c r="C26" s="326" t="s">
        <v>387</v>
      </c>
      <c r="D26" s="327" t="s">
        <v>388</v>
      </c>
      <c r="E26" s="327" t="s">
        <v>389</v>
      </c>
      <c r="F26" s="327" t="s">
        <v>390</v>
      </c>
      <c r="G26" s="328" t="s">
        <v>391</v>
      </c>
      <c r="H26" s="329">
        <v>100000</v>
      </c>
      <c r="I26" s="328" t="s">
        <v>392</v>
      </c>
      <c r="J26" s="330" t="s">
        <v>393</v>
      </c>
      <c r="K26" s="330" t="s">
        <v>394</v>
      </c>
      <c r="L26" s="331" t="s">
        <v>394</v>
      </c>
    </row>
    <row r="27" spans="1:20" ht="13.9" hidden="1" customHeight="1" x14ac:dyDescent="0.25"/>
    <row r="28" spans="1:20" ht="13.9" hidden="1" customHeight="1" x14ac:dyDescent="0.25"/>
    <row r="29" spans="1:20" ht="13.9" hidden="1" customHeight="1" x14ac:dyDescent="0.25"/>
    <row r="30" spans="1:20" ht="13.9" hidden="1" customHeight="1" x14ac:dyDescent="0.25"/>
    <row r="31" spans="1:20" ht="13.9" hidden="1" customHeight="1" x14ac:dyDescent="0.25">
      <c r="J31" s="332">
        <f>30/7</f>
        <v>4.2857142857142856</v>
      </c>
      <c r="K31" s="332">
        <v>40</v>
      </c>
      <c r="L31" s="332">
        <f>J31*K31</f>
        <v>171.42857142857142</v>
      </c>
      <c r="M31" s="332"/>
      <c r="N31" s="332"/>
      <c r="O31" s="332"/>
      <c r="P31" s="332"/>
      <c r="Q31" s="332"/>
      <c r="R31" s="332"/>
      <c r="S31" s="332"/>
      <c r="T31" s="332"/>
    </row>
    <row r="32" spans="1:20" ht="13.9" hidden="1" customHeight="1" x14ac:dyDescent="0.25">
      <c r="J32" s="332"/>
      <c r="K32" s="332"/>
      <c r="L32" s="332">
        <f>L31*6</f>
        <v>1028.5714285714284</v>
      </c>
      <c r="M32" s="332" t="s">
        <v>395</v>
      </c>
      <c r="N32" s="332"/>
      <c r="O32" s="332"/>
      <c r="P32" s="332"/>
      <c r="Q32" s="332"/>
      <c r="R32" s="332"/>
      <c r="S32" s="332"/>
      <c r="T32" s="332"/>
    </row>
    <row r="33" spans="1:20" ht="13.9" customHeight="1" x14ac:dyDescent="0.25">
      <c r="A33" s="733" t="s">
        <v>396</v>
      </c>
      <c r="B33" s="733" t="s">
        <v>397</v>
      </c>
      <c r="C33" s="740"/>
      <c r="D33" s="741"/>
      <c r="E33" s="741"/>
      <c r="F33" s="741"/>
      <c r="G33" s="741"/>
      <c r="H33" s="741"/>
      <c r="I33" s="741"/>
      <c r="J33" s="742">
        <f>1/4*1/J22*8*1/1132.6*J21</f>
        <v>1.5031785272823594E-2</v>
      </c>
      <c r="K33" s="741"/>
      <c r="L33" s="743"/>
      <c r="M33" s="332"/>
      <c r="N33" s="332"/>
      <c r="O33" s="332"/>
      <c r="P33" s="332"/>
      <c r="Q33" s="332"/>
      <c r="R33" s="332"/>
      <c r="S33" s="332"/>
      <c r="T33" s="332"/>
    </row>
    <row r="34" spans="1:20" x14ac:dyDescent="0.25">
      <c r="C34" s="734" t="s">
        <v>387</v>
      </c>
      <c r="D34" s="735" t="s">
        <v>388</v>
      </c>
      <c r="E34" s="735" t="s">
        <v>389</v>
      </c>
      <c r="F34" s="735" t="s">
        <v>390</v>
      </c>
      <c r="G34" s="736" t="s">
        <v>391</v>
      </c>
      <c r="H34" s="737">
        <v>100000</v>
      </c>
      <c r="I34" s="736" t="s">
        <v>392</v>
      </c>
      <c r="J34" s="736" t="s">
        <v>393</v>
      </c>
      <c r="K34" s="738" t="s">
        <v>394</v>
      </c>
      <c r="L34" s="739" t="s">
        <v>394</v>
      </c>
    </row>
    <row r="36" spans="1:20" x14ac:dyDescent="0.25">
      <c r="Q36" s="732"/>
    </row>
    <row r="37" spans="1:20" x14ac:dyDescent="0.25">
      <c r="Q37" s="732"/>
    </row>
    <row r="68" spans="7:7" x14ac:dyDescent="0.25">
      <c r="G68" s="238" t="s">
        <v>398</v>
      </c>
    </row>
  </sheetData>
  <mergeCells count="18">
    <mergeCell ref="M2:M3"/>
    <mergeCell ref="N2:O2"/>
    <mergeCell ref="P2:Q2"/>
    <mergeCell ref="C1:F1"/>
    <mergeCell ref="G1:I1"/>
    <mergeCell ref="J1:L1"/>
    <mergeCell ref="F2:F3"/>
    <mergeCell ref="G2:G3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E3"/>
  </mergeCells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G176"/>
  <sheetViews>
    <sheetView zoomScale="80" zoomScaleNormal="80" workbookViewId="0">
      <selection activeCell="D28" sqref="D28"/>
    </sheetView>
  </sheetViews>
  <sheetFormatPr defaultRowHeight="14.25" x14ac:dyDescent="0.2"/>
  <cols>
    <col min="1" max="1" width="53.75" style="332" customWidth="1"/>
    <col min="2" max="2" width="10" style="332" customWidth="1"/>
    <col min="3" max="3" width="14.875" style="332" customWidth="1"/>
    <col min="4" max="4" width="15.75" style="332" customWidth="1"/>
    <col min="5" max="5" width="16.75" style="332" customWidth="1"/>
    <col min="6" max="6" width="14.875" style="332" customWidth="1"/>
    <col min="7" max="1021" width="9" style="332" customWidth="1"/>
    <col min="1022" max="1025" width="8.375" customWidth="1"/>
  </cols>
  <sheetData>
    <row r="1" spans="1:1021" ht="15.75" x14ac:dyDescent="0.2">
      <c r="A1" s="869" t="s">
        <v>399</v>
      </c>
      <c r="B1" s="870"/>
      <c r="C1" s="870"/>
      <c r="D1" s="870"/>
      <c r="E1" s="870"/>
      <c r="F1" s="871"/>
      <c r="AMG1"/>
    </row>
    <row r="2" spans="1:1021" ht="15.75" x14ac:dyDescent="0.2">
      <c r="A2" s="872" t="s">
        <v>400</v>
      </c>
      <c r="B2" s="873"/>
      <c r="C2" s="873"/>
      <c r="D2" s="873"/>
      <c r="E2" s="873"/>
      <c r="F2" s="874"/>
      <c r="AMG2"/>
    </row>
    <row r="3" spans="1:1021" ht="15.75" customHeight="1" x14ac:dyDescent="0.2">
      <c r="A3" s="872" t="str">
        <f ca="1">'GEXCHA Limp.Ord. '!A3</f>
        <v>PROCESSO 35014.173954/2023-61</v>
      </c>
      <c r="B3" s="873"/>
      <c r="C3" s="873"/>
      <c r="D3" s="873"/>
      <c r="E3" s="873"/>
      <c r="F3" s="874"/>
      <c r="AMG3"/>
    </row>
    <row r="4" spans="1:1021" ht="24" x14ac:dyDescent="0.2">
      <c r="A4" s="645"/>
      <c r="B4" s="340"/>
      <c r="C4" s="341" t="s">
        <v>401</v>
      </c>
      <c r="D4" s="342" t="s">
        <v>402</v>
      </c>
      <c r="E4" s="666" t="s">
        <v>403</v>
      </c>
      <c r="F4" s="666" t="s">
        <v>404</v>
      </c>
      <c r="AMG4"/>
    </row>
    <row r="5" spans="1:1021" x14ac:dyDescent="0.2">
      <c r="A5" s="646"/>
      <c r="B5" s="345" t="s">
        <v>405</v>
      </c>
      <c r="C5" s="346">
        <f>MC!C12</f>
        <v>1440.84</v>
      </c>
      <c r="D5" s="347">
        <f>MC!E12</f>
        <v>1178.8690909090908</v>
      </c>
      <c r="E5" s="647">
        <f>MC!C12</f>
        <v>1440.84</v>
      </c>
      <c r="F5" s="647">
        <f>MC!C13</f>
        <v>1970.62</v>
      </c>
      <c r="AMG5"/>
    </row>
    <row r="6" spans="1:1021" x14ac:dyDescent="0.2">
      <c r="A6" s="646"/>
      <c r="B6" s="345" t="s">
        <v>406</v>
      </c>
      <c r="C6" s="349">
        <f>MC!D8</f>
        <v>44927</v>
      </c>
      <c r="D6" s="350">
        <f>C6</f>
        <v>44927</v>
      </c>
      <c r="E6" s="648">
        <f>C6</f>
        <v>44927</v>
      </c>
      <c r="F6" s="648">
        <f>D6</f>
        <v>44927</v>
      </c>
      <c r="AMG6"/>
    </row>
    <row r="7" spans="1:1021" x14ac:dyDescent="0.2">
      <c r="A7" s="646"/>
      <c r="B7" s="345" t="s">
        <v>407</v>
      </c>
      <c r="C7" s="352" t="str">
        <f>MC!C8</f>
        <v xml:space="preserve"> SC000150/2023</v>
      </c>
      <c r="D7" s="353" t="str">
        <f>C7</f>
        <v xml:space="preserve"> SC000150/2023</v>
      </c>
      <c r="E7" s="649" t="str">
        <f>C7</f>
        <v xml:space="preserve"> SC000150/2023</v>
      </c>
      <c r="F7" s="649" t="str">
        <f>D7</f>
        <v xml:space="preserve"> SC000150/2023</v>
      </c>
      <c r="AMG7"/>
    </row>
    <row r="8" spans="1:1021" x14ac:dyDescent="0.2">
      <c r="A8" s="650"/>
      <c r="B8" s="651" t="s">
        <v>408</v>
      </c>
      <c r="C8" s="652" t="s">
        <v>11</v>
      </c>
      <c r="D8" s="653" t="s">
        <v>11</v>
      </c>
      <c r="E8" s="654" t="s">
        <v>11</v>
      </c>
      <c r="F8" s="654" t="s">
        <v>11</v>
      </c>
      <c r="AMG8"/>
    </row>
    <row r="9" spans="1:1021" x14ac:dyDescent="0.2">
      <c r="A9" s="476"/>
      <c r="B9" s="476"/>
      <c r="C9" s="476"/>
      <c r="D9" s="476"/>
      <c r="E9" s="476"/>
      <c r="F9" s="476"/>
      <c r="AMG9"/>
    </row>
    <row r="10" spans="1:1021" ht="66.75" customHeight="1" x14ac:dyDescent="0.2">
      <c r="A10" s="752" t="s">
        <v>409</v>
      </c>
      <c r="B10" s="753" t="s">
        <v>410</v>
      </c>
      <c r="C10" s="754" t="s">
        <v>411</v>
      </c>
      <c r="D10" s="754" t="s">
        <v>402</v>
      </c>
      <c r="E10" s="755" t="s">
        <v>403</v>
      </c>
      <c r="F10" s="755" t="s">
        <v>412</v>
      </c>
      <c r="AMG10"/>
    </row>
    <row r="11" spans="1:1021" ht="15.75" customHeight="1" x14ac:dyDescent="0.2">
      <c r="A11" s="896" t="s">
        <v>413</v>
      </c>
      <c r="B11" s="897"/>
      <c r="C11" s="897"/>
      <c r="D11" s="897"/>
      <c r="E11" s="897"/>
      <c r="F11" s="898"/>
      <c r="AMG11"/>
    </row>
    <row r="12" spans="1:1021" ht="15.75" customHeight="1" x14ac:dyDescent="0.2">
      <c r="A12" s="667" t="s">
        <v>414</v>
      </c>
      <c r="B12" s="612" t="s">
        <v>415</v>
      </c>
      <c r="C12" s="612" t="s">
        <v>416</v>
      </c>
      <c r="D12" s="612" t="s">
        <v>416</v>
      </c>
      <c r="E12" s="612"/>
      <c r="F12" s="656"/>
      <c r="AMG12"/>
    </row>
    <row r="13" spans="1:1021" ht="15.75" customHeight="1" x14ac:dyDescent="0.2">
      <c r="A13" s="657" t="s">
        <v>417</v>
      </c>
      <c r="B13" s="363"/>
      <c r="C13" s="364">
        <f>C5</f>
        <v>1440.84</v>
      </c>
      <c r="D13" s="365">
        <f>D5</f>
        <v>1178.8690909090908</v>
      </c>
      <c r="E13" s="365">
        <f>E5</f>
        <v>1440.84</v>
      </c>
      <c r="F13" s="658">
        <f>F5</f>
        <v>1970.62</v>
      </c>
      <c r="AMG13"/>
    </row>
    <row r="14" spans="1:1021" ht="15.75" customHeight="1" x14ac:dyDescent="0.2">
      <c r="A14" s="657" t="s">
        <v>418</v>
      </c>
      <c r="B14" s="367">
        <v>0.2</v>
      </c>
      <c r="C14" s="364">
        <f>$B$14*C13</f>
        <v>288.16800000000001</v>
      </c>
      <c r="D14" s="364">
        <f t="shared" ref="D14" si="0">$B$14*D13</f>
        <v>235.77381818181817</v>
      </c>
      <c r="E14" s="364"/>
      <c r="F14" s="658">
        <f>$B$14*F13</f>
        <v>394.12400000000002</v>
      </c>
      <c r="AMG14"/>
    </row>
    <row r="15" spans="1:1021" ht="15.75" customHeight="1" x14ac:dyDescent="0.2">
      <c r="A15" s="657" t="s">
        <v>419</v>
      </c>
      <c r="B15" s="367"/>
      <c r="C15" s="364"/>
      <c r="D15" s="365"/>
      <c r="E15" s="365"/>
      <c r="F15" s="658"/>
      <c r="AMG15"/>
    </row>
    <row r="16" spans="1:1021" ht="15.75" customHeight="1" x14ac:dyDescent="0.2">
      <c r="A16" s="657" t="s">
        <v>420</v>
      </c>
      <c r="B16" s="368"/>
      <c r="C16" s="364"/>
      <c r="D16" s="365"/>
      <c r="E16" s="365"/>
      <c r="F16" s="658"/>
      <c r="AMG16"/>
    </row>
    <row r="17" spans="1:1021" ht="15.75" customHeight="1" x14ac:dyDescent="0.2">
      <c r="A17" s="657" t="s">
        <v>421</v>
      </c>
      <c r="B17" s="368"/>
      <c r="C17" s="364"/>
      <c r="D17" s="365"/>
      <c r="E17" s="365"/>
      <c r="F17" s="658"/>
      <c r="AMG17"/>
    </row>
    <row r="18" spans="1:1021" ht="15.75" customHeight="1" x14ac:dyDescent="0.2">
      <c r="A18" s="657" t="s">
        <v>422</v>
      </c>
      <c r="B18" s="367">
        <v>0.3</v>
      </c>
      <c r="C18" s="364"/>
      <c r="D18" s="364"/>
      <c r="E18" s="364">
        <f>$B$18*E13</f>
        <v>432.25199999999995</v>
      </c>
      <c r="F18" s="658"/>
      <c r="AMG18"/>
    </row>
    <row r="19" spans="1:1021" ht="15.75" customHeight="1" x14ac:dyDescent="0.2">
      <c r="A19" s="659" t="s">
        <v>423</v>
      </c>
      <c r="B19" s="660"/>
      <c r="C19" s="661">
        <f>SUM(C13:C18)</f>
        <v>1729.0079999999998</v>
      </c>
      <c r="D19" s="662">
        <f>SUM(D13:D18)</f>
        <v>1414.6429090909089</v>
      </c>
      <c r="E19" s="662">
        <f>SUM(E13:E18)</f>
        <v>1873.0919999999999</v>
      </c>
      <c r="F19" s="663">
        <f>SUM(F13:F18)</f>
        <v>2364.7439999999997</v>
      </c>
      <c r="AMG19"/>
    </row>
    <row r="20" spans="1:1021" ht="15.75" customHeight="1" x14ac:dyDescent="0.2">
      <c r="A20" s="894"/>
      <c r="B20" s="895"/>
      <c r="C20" s="664"/>
      <c r="D20" s="665"/>
      <c r="E20" s="665"/>
      <c r="F20" s="668"/>
      <c r="AMG20"/>
    </row>
    <row r="21" spans="1:1021" ht="15.75" customHeight="1" x14ac:dyDescent="0.2">
      <c r="A21" s="882" t="s">
        <v>424</v>
      </c>
      <c r="B21" s="883"/>
      <c r="C21" s="883"/>
      <c r="D21" s="883"/>
      <c r="E21" s="883"/>
      <c r="F21" s="884"/>
      <c r="AMG21"/>
    </row>
    <row r="22" spans="1:1021" ht="15.75" customHeight="1" x14ac:dyDescent="0.2">
      <c r="A22" s="669" t="s">
        <v>425</v>
      </c>
      <c r="B22" s="377" t="s">
        <v>415</v>
      </c>
      <c r="C22" s="377" t="s">
        <v>416</v>
      </c>
      <c r="D22" s="377" t="s">
        <v>416</v>
      </c>
      <c r="E22" s="377" t="s">
        <v>416</v>
      </c>
      <c r="F22" s="670" t="s">
        <v>416</v>
      </c>
      <c r="AMG22"/>
    </row>
    <row r="23" spans="1:1021" ht="15.75" customHeight="1" x14ac:dyDescent="0.2">
      <c r="A23" s="671" t="s">
        <v>426</v>
      </c>
      <c r="B23" s="367">
        <f>1/12</f>
        <v>8.3333333333333329E-2</v>
      </c>
      <c r="C23" s="364">
        <f>ROUND($B23*C$19,2)</f>
        <v>144.08000000000001</v>
      </c>
      <c r="D23" s="364">
        <f>ROUND($B23*D$19,2)</f>
        <v>117.89</v>
      </c>
      <c r="E23" s="364">
        <f>ROUND($B23*E$19,2)</f>
        <v>156.09</v>
      </c>
      <c r="F23" s="658">
        <f>ROUND($B23*F$19,2)</f>
        <v>197.06</v>
      </c>
      <c r="AMG23"/>
    </row>
    <row r="24" spans="1:1021" ht="15.75" customHeight="1" x14ac:dyDescent="0.2">
      <c r="A24" s="671" t="s">
        <v>427</v>
      </c>
      <c r="B24" s="367">
        <f>1/3*1/12</f>
        <v>2.7777777777777776E-2</v>
      </c>
      <c r="C24" s="364">
        <f>C$19*$B$24</f>
        <v>48.027999999999992</v>
      </c>
      <c r="D24" s="364">
        <f>D$19*$B$24</f>
        <v>39.295636363636355</v>
      </c>
      <c r="E24" s="364">
        <f>E$19*$B$24</f>
        <v>52.030333333333324</v>
      </c>
      <c r="F24" s="658">
        <f>F$19*$B$24</f>
        <v>65.687333333333328</v>
      </c>
      <c r="AMG24"/>
    </row>
    <row r="25" spans="1:1021" ht="15.75" customHeight="1" x14ac:dyDescent="0.2">
      <c r="A25" s="672" t="s">
        <v>423</v>
      </c>
      <c r="B25" s="380">
        <f>SUM(B23:B24)</f>
        <v>0.1111111111111111</v>
      </c>
      <c r="C25" s="371">
        <f>SUM(C23:C24)</f>
        <v>192.108</v>
      </c>
      <c r="D25" s="371">
        <f>SUM(D23:D24)</f>
        <v>157.18563636363635</v>
      </c>
      <c r="E25" s="371">
        <f>SUM(E23:E24)</f>
        <v>208.12033333333332</v>
      </c>
      <c r="F25" s="673">
        <f>SUM(F23:F24)</f>
        <v>262.74733333333336</v>
      </c>
      <c r="AMG25"/>
    </row>
    <row r="26" spans="1:1021" ht="15.75" customHeight="1" x14ac:dyDescent="0.2">
      <c r="A26" s="669" t="s">
        <v>428</v>
      </c>
      <c r="B26" s="377" t="s">
        <v>415</v>
      </c>
      <c r="C26" s="377" t="s">
        <v>416</v>
      </c>
      <c r="D26" s="377" t="s">
        <v>416</v>
      </c>
      <c r="E26" s="377" t="s">
        <v>416</v>
      </c>
      <c r="F26" s="670" t="s">
        <v>416</v>
      </c>
      <c r="AMG26"/>
    </row>
    <row r="27" spans="1:1021" ht="15.75" customHeight="1" x14ac:dyDescent="0.2">
      <c r="A27" s="669" t="s">
        <v>429</v>
      </c>
      <c r="B27" s="381"/>
      <c r="C27" s="381"/>
      <c r="D27" s="381"/>
      <c r="E27" s="381"/>
      <c r="F27" s="674"/>
      <c r="AMG27"/>
    </row>
    <row r="28" spans="1:1021" ht="15.75" customHeight="1" x14ac:dyDescent="0.2">
      <c r="A28" s="671" t="s">
        <v>430</v>
      </c>
      <c r="B28" s="367">
        <v>0.2</v>
      </c>
      <c r="C28" s="383">
        <f t="shared" ref="C28:C35" si="1">ROUND(($C$19+$C$25)*B28,2)</f>
        <v>384.22</v>
      </c>
      <c r="D28" s="383">
        <f t="shared" ref="D28:D35" si="2">ROUND(($D$19+$D$25)*B28,2)</f>
        <v>314.37</v>
      </c>
      <c r="E28" s="383">
        <f t="shared" ref="E28:E35" si="3">ROUND(($E$19+$E$25)*B28,2)</f>
        <v>416.24</v>
      </c>
      <c r="F28" s="675">
        <f>ROUND(($F$19+$F$25)*B28,2)</f>
        <v>525.5</v>
      </c>
      <c r="AMG28"/>
    </row>
    <row r="29" spans="1:1021" ht="15.75" customHeight="1" x14ac:dyDescent="0.2">
      <c r="A29" s="671" t="s">
        <v>431</v>
      </c>
      <c r="B29" s="367">
        <v>2.5000000000000001E-2</v>
      </c>
      <c r="C29" s="383">
        <f t="shared" si="1"/>
        <v>48.03</v>
      </c>
      <c r="D29" s="383">
        <f t="shared" si="2"/>
        <v>39.299999999999997</v>
      </c>
      <c r="E29" s="383">
        <f t="shared" si="3"/>
        <v>52.03</v>
      </c>
      <c r="F29" s="675">
        <f t="shared" ref="F29:F35" si="4">ROUND(($F$19+$F$25)*B29,2)</f>
        <v>65.69</v>
      </c>
      <c r="AMG29"/>
    </row>
    <row r="30" spans="1:1021" ht="15.75" customHeight="1" x14ac:dyDescent="0.2">
      <c r="A30" s="671" t="s">
        <v>432</v>
      </c>
      <c r="B30" s="367">
        <v>0.03</v>
      </c>
      <c r="C30" s="383">
        <f t="shared" si="1"/>
        <v>57.63</v>
      </c>
      <c r="D30" s="383">
        <f t="shared" si="2"/>
        <v>47.15</v>
      </c>
      <c r="E30" s="383">
        <f t="shared" si="3"/>
        <v>62.44</v>
      </c>
      <c r="F30" s="675">
        <f t="shared" si="4"/>
        <v>78.819999999999993</v>
      </c>
      <c r="AMG30"/>
    </row>
    <row r="31" spans="1:1021" ht="15.75" customHeight="1" x14ac:dyDescent="0.2">
      <c r="A31" s="671" t="s">
        <v>433</v>
      </c>
      <c r="B31" s="367">
        <v>1.4999999999999999E-2</v>
      </c>
      <c r="C31" s="383">
        <f t="shared" si="1"/>
        <v>28.82</v>
      </c>
      <c r="D31" s="383">
        <f t="shared" si="2"/>
        <v>23.58</v>
      </c>
      <c r="E31" s="383">
        <f t="shared" si="3"/>
        <v>31.22</v>
      </c>
      <c r="F31" s="675">
        <f t="shared" si="4"/>
        <v>39.409999999999997</v>
      </c>
      <c r="AMG31"/>
    </row>
    <row r="32" spans="1:1021" ht="15.75" customHeight="1" x14ac:dyDescent="0.2">
      <c r="A32" s="671" t="s">
        <v>434</v>
      </c>
      <c r="B32" s="367">
        <v>0.01</v>
      </c>
      <c r="C32" s="383">
        <f t="shared" si="1"/>
        <v>19.21</v>
      </c>
      <c r="D32" s="383">
        <f t="shared" si="2"/>
        <v>15.72</v>
      </c>
      <c r="E32" s="383">
        <f t="shared" si="3"/>
        <v>20.81</v>
      </c>
      <c r="F32" s="675">
        <f t="shared" si="4"/>
        <v>26.27</v>
      </c>
      <c r="AMG32"/>
    </row>
    <row r="33" spans="1:1021" ht="15.75" customHeight="1" x14ac:dyDescent="0.2">
      <c r="A33" s="671" t="s">
        <v>435</v>
      </c>
      <c r="B33" s="367">
        <v>6.0000000000000001E-3</v>
      </c>
      <c r="C33" s="383">
        <f t="shared" si="1"/>
        <v>11.53</v>
      </c>
      <c r="D33" s="383">
        <f t="shared" si="2"/>
        <v>9.43</v>
      </c>
      <c r="E33" s="383">
        <f t="shared" si="3"/>
        <v>12.49</v>
      </c>
      <c r="F33" s="675">
        <f t="shared" si="4"/>
        <v>15.76</v>
      </c>
      <c r="AMG33"/>
    </row>
    <row r="34" spans="1:1021" ht="15.75" customHeight="1" x14ac:dyDescent="0.2">
      <c r="A34" s="671" t="s">
        <v>436</v>
      </c>
      <c r="B34" s="367">
        <v>2E-3</v>
      </c>
      <c r="C34" s="383">
        <f t="shared" si="1"/>
        <v>3.84</v>
      </c>
      <c r="D34" s="383">
        <f t="shared" si="2"/>
        <v>3.14</v>
      </c>
      <c r="E34" s="383">
        <f t="shared" si="3"/>
        <v>4.16</v>
      </c>
      <c r="F34" s="675">
        <f t="shared" si="4"/>
        <v>5.25</v>
      </c>
      <c r="AMG34"/>
    </row>
    <row r="35" spans="1:1021" ht="15.75" customHeight="1" x14ac:dyDescent="0.2">
      <c r="A35" s="671" t="s">
        <v>437</v>
      </c>
      <c r="B35" s="367">
        <v>0.08</v>
      </c>
      <c r="C35" s="383">
        <f t="shared" si="1"/>
        <v>153.69</v>
      </c>
      <c r="D35" s="383">
        <f t="shared" si="2"/>
        <v>125.75</v>
      </c>
      <c r="E35" s="383">
        <f t="shared" si="3"/>
        <v>166.5</v>
      </c>
      <c r="F35" s="675">
        <f t="shared" si="4"/>
        <v>210.2</v>
      </c>
      <c r="AMG35"/>
    </row>
    <row r="36" spans="1:1021" ht="15.75" customHeight="1" x14ac:dyDescent="0.2">
      <c r="A36" s="672" t="s">
        <v>423</v>
      </c>
      <c r="B36" s="380">
        <f>SUM(B28:B35)</f>
        <v>0.36800000000000005</v>
      </c>
      <c r="C36" s="371">
        <f>SUM(C27:C35)</f>
        <v>706.97</v>
      </c>
      <c r="D36" s="371">
        <f>SUM(D27:D35)</f>
        <v>578.44000000000005</v>
      </c>
      <c r="E36" s="371">
        <f>SUM(E28:E35)</f>
        <v>765.89</v>
      </c>
      <c r="F36" s="673">
        <f>SUM(F28:F35)</f>
        <v>966.89999999999986</v>
      </c>
      <c r="AMG36"/>
    </row>
    <row r="37" spans="1:1021" ht="15.75" customHeight="1" x14ac:dyDescent="0.2">
      <c r="A37" s="669" t="s">
        <v>438</v>
      </c>
      <c r="B37" s="377" t="s">
        <v>439</v>
      </c>
      <c r="C37" s="377" t="s">
        <v>416</v>
      </c>
      <c r="D37" s="377" t="s">
        <v>416</v>
      </c>
      <c r="E37" s="377" t="s">
        <v>416</v>
      </c>
      <c r="F37" s="670" t="s">
        <v>416</v>
      </c>
      <c r="AMG37"/>
    </row>
    <row r="38" spans="1:1021" ht="15.75" customHeight="1" x14ac:dyDescent="0.2">
      <c r="A38" s="671" t="s">
        <v>440</v>
      </c>
      <c r="B38" s="385">
        <f>MC!D87</f>
        <v>4.2894285714285711</v>
      </c>
      <c r="C38" s="364">
        <f>ROUND(((2*22*$B$38)-0.06*C$13),2)</f>
        <v>102.28</v>
      </c>
      <c r="D38" s="364">
        <f>ROUND(((2*22*$B$38)-0.06*D$13),2)</f>
        <v>118</v>
      </c>
      <c r="E38" s="364">
        <f>ROUND(((2*22*$B$38)-0.06*E$13),2)</f>
        <v>102.28</v>
      </c>
      <c r="F38" s="658">
        <f>ROUND(((2*22*$B$38)-0.06*F$13),2)</f>
        <v>70.5</v>
      </c>
      <c r="AMG38"/>
    </row>
    <row r="39" spans="1:1021" ht="15.75" customHeight="1" x14ac:dyDescent="0.2">
      <c r="A39" s="671" t="s">
        <v>441</v>
      </c>
      <c r="B39" s="386"/>
      <c r="C39" s="383">
        <f>MC!E20</f>
        <v>463.26</v>
      </c>
      <c r="D39" s="383">
        <f>MC!E21</f>
        <v>380.93</v>
      </c>
      <c r="E39" s="383">
        <f>MC!E20</f>
        <v>463.26</v>
      </c>
      <c r="F39" s="675">
        <f>MC!E20</f>
        <v>463.26</v>
      </c>
      <c r="AMG39"/>
    </row>
    <row r="40" spans="1:1021" ht="15.75" customHeight="1" x14ac:dyDescent="0.2">
      <c r="A40" s="671" t="s">
        <v>442</v>
      </c>
      <c r="B40" s="367">
        <f>MC!C25</f>
        <v>0</v>
      </c>
      <c r="C40" s="383"/>
      <c r="D40" s="383"/>
      <c r="E40" s="383"/>
      <c r="F40" s="675"/>
      <c r="AMG40"/>
    </row>
    <row r="41" spans="1:1021" ht="15.75" customHeight="1" x14ac:dyDescent="0.2">
      <c r="A41" s="671" t="s">
        <v>443</v>
      </c>
      <c r="B41" s="387">
        <f>MC!E24</f>
        <v>11</v>
      </c>
      <c r="C41" s="383">
        <f>B41</f>
        <v>11</v>
      </c>
      <c r="D41" s="383">
        <f>B41</f>
        <v>11</v>
      </c>
      <c r="E41" s="383">
        <f>B41</f>
        <v>11</v>
      </c>
      <c r="F41" s="675">
        <f>B41</f>
        <v>11</v>
      </c>
      <c r="AMG41"/>
    </row>
    <row r="42" spans="1:1021" ht="15.75" customHeight="1" x14ac:dyDescent="0.2">
      <c r="A42" s="671" t="s">
        <v>444</v>
      </c>
      <c r="B42" s="367">
        <f>MC!C23</f>
        <v>7.0000000000000007E-2</v>
      </c>
      <c r="C42" s="383">
        <f>$B$42*C19</f>
        <v>121.03055999999999</v>
      </c>
      <c r="D42" s="383">
        <f>$B$42*D19</f>
        <v>99.025003636363635</v>
      </c>
      <c r="E42" s="383">
        <f>$B$42*E19</f>
        <v>131.11644000000001</v>
      </c>
      <c r="F42" s="675">
        <f>$B$42*F19</f>
        <v>165.53208000000001</v>
      </c>
      <c r="AMG42"/>
    </row>
    <row r="43" spans="1:1021" ht="15.75" customHeight="1" x14ac:dyDescent="0.2">
      <c r="A43" s="671" t="s">
        <v>445</v>
      </c>
      <c r="B43" s="367"/>
      <c r="C43" s="383"/>
      <c r="D43" s="383"/>
      <c r="E43" s="383"/>
      <c r="F43" s="675"/>
      <c r="AMG43"/>
    </row>
    <row r="44" spans="1:1021" ht="15.75" customHeight="1" x14ac:dyDescent="0.2">
      <c r="A44" s="672" t="s">
        <v>423</v>
      </c>
      <c r="B44" s="370"/>
      <c r="C44" s="371">
        <f>SUM(C38:C43)</f>
        <v>697.57056</v>
      </c>
      <c r="D44" s="371">
        <f>SUM(D38:D43)</f>
        <v>608.9550036363637</v>
      </c>
      <c r="E44" s="371">
        <f>SUM(E38:E43)</f>
        <v>707.65643999999998</v>
      </c>
      <c r="F44" s="673">
        <f>SUM(F38:F43)</f>
        <v>710.29207999999994</v>
      </c>
      <c r="AMG44"/>
    </row>
    <row r="45" spans="1:1021" ht="15.75" customHeight="1" x14ac:dyDescent="0.2">
      <c r="A45" s="655" t="s">
        <v>446</v>
      </c>
      <c r="B45" s="360" t="s">
        <v>415</v>
      </c>
      <c r="C45" s="360" t="s">
        <v>416</v>
      </c>
      <c r="D45" s="360" t="s">
        <v>416</v>
      </c>
      <c r="E45" s="360" t="s">
        <v>416</v>
      </c>
      <c r="F45" s="676" t="s">
        <v>416</v>
      </c>
      <c r="AMG45"/>
    </row>
    <row r="46" spans="1:1021" ht="15.75" customHeight="1" x14ac:dyDescent="0.2">
      <c r="A46" s="671" t="s">
        <v>425</v>
      </c>
      <c r="B46" s="388">
        <f>B25</f>
        <v>0.1111111111111111</v>
      </c>
      <c r="C46" s="389">
        <f>C25</f>
        <v>192.108</v>
      </c>
      <c r="D46" s="389">
        <f>D25</f>
        <v>157.18563636363635</v>
      </c>
      <c r="E46" s="389">
        <f>E25</f>
        <v>208.12033333333332</v>
      </c>
      <c r="F46" s="677">
        <f>F25</f>
        <v>262.74733333333336</v>
      </c>
      <c r="AMG46"/>
    </row>
    <row r="47" spans="1:1021" ht="15.75" customHeight="1" x14ac:dyDescent="0.2">
      <c r="A47" s="671" t="s">
        <v>447</v>
      </c>
      <c r="B47" s="388">
        <f>B36</f>
        <v>0.36800000000000005</v>
      </c>
      <c r="C47" s="389">
        <f>C36</f>
        <v>706.97</v>
      </c>
      <c r="D47" s="389">
        <f>D36</f>
        <v>578.44000000000005</v>
      </c>
      <c r="E47" s="389">
        <f>E36</f>
        <v>765.89</v>
      </c>
      <c r="F47" s="677">
        <f>F36</f>
        <v>966.89999999999986</v>
      </c>
      <c r="AMG47"/>
    </row>
    <row r="48" spans="1:1021" ht="15.75" customHeight="1" x14ac:dyDescent="0.2">
      <c r="A48" s="671" t="s">
        <v>438</v>
      </c>
      <c r="B48" s="388"/>
      <c r="C48" s="389">
        <f>C44</f>
        <v>697.57056</v>
      </c>
      <c r="D48" s="389">
        <f>D44</f>
        <v>608.9550036363637</v>
      </c>
      <c r="E48" s="389">
        <f>E44</f>
        <v>707.65643999999998</v>
      </c>
      <c r="F48" s="677">
        <f>F44</f>
        <v>710.29207999999994</v>
      </c>
      <c r="AMG48"/>
    </row>
    <row r="49" spans="1:1021" ht="15.75" customHeight="1" x14ac:dyDescent="0.2">
      <c r="A49" s="757" t="s">
        <v>423</v>
      </c>
      <c r="B49" s="758"/>
      <c r="C49" s="759">
        <f>SUM(C46:C48)</f>
        <v>1596.6485600000001</v>
      </c>
      <c r="D49" s="759">
        <f>SUM(D46:D48)</f>
        <v>1344.5806400000001</v>
      </c>
      <c r="E49" s="759">
        <f>SUM(E46:E48)</f>
        <v>1681.6667733333334</v>
      </c>
      <c r="F49" s="673">
        <f>SUM(F46:F48)</f>
        <v>1939.9394133333333</v>
      </c>
      <c r="AMG49"/>
    </row>
    <row r="50" spans="1:1021" ht="15.75" customHeight="1" x14ac:dyDescent="0.2">
      <c r="A50" s="878"/>
      <c r="B50" s="879"/>
      <c r="C50" s="745"/>
      <c r="D50" s="745"/>
      <c r="E50" s="745"/>
      <c r="F50" s="756"/>
      <c r="AMG50"/>
    </row>
    <row r="51" spans="1:1021" s="391" customFormat="1" ht="15.75" customHeight="1" x14ac:dyDescent="0.2">
      <c r="A51" s="885" t="s">
        <v>448</v>
      </c>
      <c r="B51" s="886"/>
      <c r="C51" s="886"/>
      <c r="D51" s="886"/>
      <c r="E51" s="886"/>
      <c r="F51" s="884"/>
    </row>
    <row r="52" spans="1:1021" ht="15.75" customHeight="1" x14ac:dyDescent="0.2">
      <c r="A52" s="655" t="s">
        <v>449</v>
      </c>
      <c r="B52" s="360" t="s">
        <v>415</v>
      </c>
      <c r="C52" s="360" t="s">
        <v>416</v>
      </c>
      <c r="D52" s="360" t="s">
        <v>416</v>
      </c>
      <c r="E52" s="360" t="s">
        <v>416</v>
      </c>
      <c r="F52" s="676" t="s">
        <v>416</v>
      </c>
      <c r="AMG52"/>
    </row>
    <row r="53" spans="1:1021" ht="15.75" customHeight="1" x14ac:dyDescent="0.2">
      <c r="A53" s="669" t="s">
        <v>450</v>
      </c>
      <c r="B53" s="392"/>
      <c r="C53" s="392"/>
      <c r="D53" s="392"/>
      <c r="E53" s="392"/>
      <c r="F53" s="680"/>
      <c r="AMG53"/>
    </row>
    <row r="54" spans="1:1021" ht="15.75" customHeight="1" x14ac:dyDescent="0.2">
      <c r="A54" s="671" t="s">
        <v>451</v>
      </c>
      <c r="B54" s="388">
        <f>1/12*0.05</f>
        <v>4.1666666666666666E-3</v>
      </c>
      <c r="C54" s="394">
        <f>C19*$B54</f>
        <v>7.2041999999999993</v>
      </c>
      <c r="D54" s="394">
        <f>D19*$B54</f>
        <v>5.8943454545454541</v>
      </c>
      <c r="E54" s="394">
        <f>E19*$B54</f>
        <v>7.804549999999999</v>
      </c>
      <c r="F54" s="681">
        <f>F19*$B54</f>
        <v>9.8530999999999977</v>
      </c>
      <c r="AMG54"/>
    </row>
    <row r="55" spans="1:1021" ht="15.75" customHeight="1" x14ac:dyDescent="0.2">
      <c r="A55" s="671" t="s">
        <v>452</v>
      </c>
      <c r="B55" s="388">
        <f>B35*B54</f>
        <v>3.3333333333333332E-4</v>
      </c>
      <c r="C55" s="394">
        <f>$B$55*C19</f>
        <v>0.57633599999999996</v>
      </c>
      <c r="D55" s="394">
        <f>$B$55*D19</f>
        <v>0.47154763636363628</v>
      </c>
      <c r="E55" s="394">
        <f>$B$55*E19</f>
        <v>0.62436399999999992</v>
      </c>
      <c r="F55" s="681">
        <f>$B$55*F19</f>
        <v>0.78824799999999984</v>
      </c>
      <c r="AMG55"/>
    </row>
    <row r="56" spans="1:1021" ht="15.75" customHeight="1" x14ac:dyDescent="0.2">
      <c r="A56" s="671" t="s">
        <v>453</v>
      </c>
      <c r="B56" s="388">
        <v>0</v>
      </c>
      <c r="C56" s="394">
        <f>C35*$B56</f>
        <v>0</v>
      </c>
      <c r="D56" s="394">
        <f>D35*$B56</f>
        <v>0</v>
      </c>
      <c r="E56" s="394">
        <f>E35*$B56</f>
        <v>0</v>
      </c>
      <c r="F56" s="681">
        <f>F35*$B56</f>
        <v>0</v>
      </c>
      <c r="AMG56"/>
    </row>
    <row r="57" spans="1:1021" ht="15.75" customHeight="1" x14ac:dyDescent="0.2">
      <c r="A57" s="671" t="s">
        <v>454</v>
      </c>
      <c r="B57" s="388">
        <f>1/12*1/30*7</f>
        <v>1.9444444444444441E-2</v>
      </c>
      <c r="C57" s="389">
        <f>C19*$B57</f>
        <v>33.619599999999991</v>
      </c>
      <c r="D57" s="389">
        <f>D19*$B57</f>
        <v>27.506945454545448</v>
      </c>
      <c r="E57" s="389">
        <f>E19*$B57</f>
        <v>36.421233333333326</v>
      </c>
      <c r="F57" s="677">
        <f>F19*$B57</f>
        <v>45.981133333333318</v>
      </c>
      <c r="AMG57"/>
    </row>
    <row r="58" spans="1:1021" ht="15.75" customHeight="1" x14ac:dyDescent="0.2">
      <c r="A58" s="671" t="s">
        <v>455</v>
      </c>
      <c r="B58" s="388">
        <f>B36*B57</f>
        <v>7.1555555555555556E-3</v>
      </c>
      <c r="C58" s="389">
        <f>$B58*C19</f>
        <v>12.372012799999998</v>
      </c>
      <c r="D58" s="389">
        <f>$B58*D19</f>
        <v>10.122555927272726</v>
      </c>
      <c r="E58" s="389">
        <f>$B58*E19</f>
        <v>13.403013866666665</v>
      </c>
      <c r="F58" s="677">
        <f>$B58*F19</f>
        <v>16.921057066666666</v>
      </c>
      <c r="AMG58"/>
    </row>
    <row r="59" spans="1:1021" ht="15.75" customHeight="1" x14ac:dyDescent="0.2">
      <c r="A59" s="671" t="s">
        <v>456</v>
      </c>
      <c r="B59" s="388">
        <f>B35*40/100*90/100*(1+1/12+1/12+1/3*1/12)</f>
        <v>3.4399999999999993E-2</v>
      </c>
      <c r="C59" s="389">
        <f>C19*$B59</f>
        <v>59.477875199999978</v>
      </c>
      <c r="D59" s="389">
        <f>D19*$B59</f>
        <v>48.663716072727254</v>
      </c>
      <c r="E59" s="389">
        <f>E19*$B59</f>
        <v>64.434364799999983</v>
      </c>
      <c r="F59" s="677">
        <f>F19*$B59</f>
        <v>81.347193599999969</v>
      </c>
      <c r="AMG59"/>
    </row>
    <row r="60" spans="1:1021" ht="15.75" customHeight="1" x14ac:dyDescent="0.2">
      <c r="A60" s="672" t="s">
        <v>423</v>
      </c>
      <c r="B60" s="380">
        <f>SUM(B54:B59)</f>
        <v>6.5499999999999989E-2</v>
      </c>
      <c r="C60" s="395">
        <f>SUM(C54:C59)</f>
        <v>113.25002399999997</v>
      </c>
      <c r="D60" s="395">
        <f>SUM(D54:D59)</f>
        <v>92.659110545454524</v>
      </c>
      <c r="E60" s="395">
        <f>SUM(E54:E59)</f>
        <v>122.68752599999998</v>
      </c>
      <c r="F60" s="682">
        <f>SUM(F54:F59)</f>
        <v>154.89073199999996</v>
      </c>
      <c r="AMG60"/>
    </row>
    <row r="61" spans="1:1021" ht="15.75" customHeight="1" x14ac:dyDescent="0.2">
      <c r="A61" s="880"/>
      <c r="B61" s="881"/>
      <c r="C61" s="397"/>
      <c r="D61" s="397"/>
      <c r="E61" s="397"/>
      <c r="F61" s="683"/>
      <c r="AMG61"/>
    </row>
    <row r="62" spans="1:1021" ht="15.75" customHeight="1" x14ac:dyDescent="0.2">
      <c r="A62" s="885" t="s">
        <v>457</v>
      </c>
      <c r="B62" s="886"/>
      <c r="C62" s="886"/>
      <c r="D62" s="886"/>
      <c r="E62" s="886"/>
      <c r="F62" s="887"/>
      <c r="AMG62"/>
    </row>
    <row r="63" spans="1:1021" ht="15.75" customHeight="1" x14ac:dyDescent="0.2">
      <c r="A63" s="669" t="s">
        <v>45</v>
      </c>
      <c r="B63" s="377"/>
      <c r="C63" s="377"/>
      <c r="D63" s="377"/>
      <c r="E63" s="377"/>
      <c r="F63" s="670"/>
      <c r="AMG63"/>
    </row>
    <row r="64" spans="1:1021" ht="15.75" customHeight="1" x14ac:dyDescent="0.2">
      <c r="A64" s="671" t="s">
        <v>46</v>
      </c>
      <c r="B64" s="367">
        <f>1/12</f>
        <v>8.3333333333333329E-2</v>
      </c>
      <c r="C64" s="383">
        <f>$B64*(C$19+(C$49-C$38-C$39)+C$60)</f>
        <v>239.4472153333333</v>
      </c>
      <c r="D64" s="383">
        <f t="shared" ref="D64:F64" si="5">$B64*(D$19+(D$49-D$38-D$39)+D$60)</f>
        <v>196.07938830303027</v>
      </c>
      <c r="E64" s="383">
        <f t="shared" si="5"/>
        <v>259.3255249444444</v>
      </c>
      <c r="F64" s="675">
        <f t="shared" si="5"/>
        <v>327.15117877777772</v>
      </c>
      <c r="AMG64"/>
    </row>
    <row r="65" spans="1:1021" ht="15.75" customHeight="1" x14ac:dyDescent="0.2">
      <c r="A65" s="671" t="s">
        <v>458</v>
      </c>
      <c r="B65" s="367">
        <f>MC!E52/30/12</f>
        <v>1.3538888888888885E-2</v>
      </c>
      <c r="C65" s="383">
        <f t="shared" ref="C65:F67" si="6">$B65*(C$19+(C$49-C$38-C$39)+C$60)</f>
        <v>38.90219091782221</v>
      </c>
      <c r="D65" s="383">
        <f t="shared" si="6"/>
        <v>31.856364619632313</v>
      </c>
      <c r="E65" s="383">
        <f t="shared" si="6"/>
        <v>42.131753619307396</v>
      </c>
      <c r="F65" s="675">
        <f t="shared" si="6"/>
        <v>53.151161512096273</v>
      </c>
      <c r="AMG65"/>
    </row>
    <row r="66" spans="1:1021" ht="15.75" customHeight="1" x14ac:dyDescent="0.2">
      <c r="A66" s="671" t="s">
        <v>459</v>
      </c>
      <c r="B66" s="399">
        <f>(5/30)/12*MC!F54*MC!C55</f>
        <v>1.0764583333333333E-4</v>
      </c>
      <c r="C66" s="383">
        <f t="shared" si="6"/>
        <v>0.30930594040683329</v>
      </c>
      <c r="D66" s="383">
        <f t="shared" si="6"/>
        <v>0.25328554984043938</v>
      </c>
      <c r="E66" s="383">
        <f t="shared" si="6"/>
        <v>0.33498374684698612</v>
      </c>
      <c r="F66" s="675">
        <f t="shared" si="6"/>
        <v>0.42259753518619436</v>
      </c>
      <c r="AMG66"/>
    </row>
    <row r="67" spans="1:1021" ht="15.75" customHeight="1" x14ac:dyDescent="0.2">
      <c r="A67" s="671" t="s">
        <v>460</v>
      </c>
      <c r="B67" s="399">
        <f>MC!C57/30/12</f>
        <v>2.6830555555555553E-3</v>
      </c>
      <c r="C67" s="383">
        <f t="shared" si="6"/>
        <v>7.7094021763488874</v>
      </c>
      <c r="D67" s="383">
        <f t="shared" si="6"/>
        <v>6.3131027053965649</v>
      </c>
      <c r="E67" s="383">
        <f t="shared" si="6"/>
        <v>8.3494174847946283</v>
      </c>
      <c r="F67" s="675">
        <f t="shared" si="6"/>
        <v>10.533177452715183</v>
      </c>
      <c r="AMG67"/>
    </row>
    <row r="68" spans="1:1021" ht="15.75" customHeight="1" x14ac:dyDescent="0.2">
      <c r="A68" s="671" t="s">
        <v>461</v>
      </c>
      <c r="B68" s="367"/>
      <c r="C68" s="383"/>
      <c r="D68" s="383"/>
      <c r="E68" s="383">
        <f>B68*($E$19+$E$49+$E$60)</f>
        <v>0</v>
      </c>
      <c r="F68" s="675">
        <f>C68*($E$19+$E$49+$E$60)</f>
        <v>0</v>
      </c>
      <c r="AMG68"/>
    </row>
    <row r="69" spans="1:1021" ht="15.75" customHeight="1" x14ac:dyDescent="0.2">
      <c r="A69" s="684" t="s">
        <v>462</v>
      </c>
      <c r="B69" s="401">
        <f>SUM(B64:B68)</f>
        <v>9.9662923611111107E-2</v>
      </c>
      <c r="C69" s="402">
        <f>SUM(C64:C68)</f>
        <v>286.36811436791123</v>
      </c>
      <c r="D69" s="402">
        <f>SUM(D64:D68)</f>
        <v>234.50214117789957</v>
      </c>
      <c r="E69" s="402">
        <f>SUM(E64:E68)</f>
        <v>310.14167979539343</v>
      </c>
      <c r="F69" s="685">
        <f>SUM(F64:F68)</f>
        <v>391.25811527777535</v>
      </c>
      <c r="AMG69"/>
    </row>
    <row r="70" spans="1:1021" ht="15.75" customHeight="1" x14ac:dyDescent="0.2">
      <c r="A70" s="669" t="s">
        <v>463</v>
      </c>
      <c r="B70" s="377"/>
      <c r="C70" s="377"/>
      <c r="D70" s="377"/>
      <c r="E70" s="377"/>
      <c r="F70" s="670"/>
      <c r="AMG70"/>
    </row>
    <row r="71" spans="1:1021" ht="15.75" customHeight="1" x14ac:dyDescent="0.2">
      <c r="A71" s="671" t="s">
        <v>464</v>
      </c>
      <c r="B71" s="367"/>
      <c r="C71" s="383"/>
      <c r="D71" s="383"/>
      <c r="E71" s="383"/>
      <c r="F71" s="675"/>
      <c r="AMG71"/>
    </row>
    <row r="72" spans="1:1021" ht="15.75" customHeight="1" x14ac:dyDescent="0.2">
      <c r="A72" s="684" t="s">
        <v>462</v>
      </c>
      <c r="B72" s="401"/>
      <c r="C72" s="402">
        <f>C71</f>
        <v>0</v>
      </c>
      <c r="D72" s="402"/>
      <c r="E72" s="402"/>
      <c r="F72" s="685"/>
      <c r="AMG72"/>
    </row>
    <row r="73" spans="1:1021" ht="15.75" customHeight="1" x14ac:dyDescent="0.2">
      <c r="A73" s="669" t="s">
        <v>67</v>
      </c>
      <c r="B73" s="377"/>
      <c r="C73" s="377"/>
      <c r="D73" s="377"/>
      <c r="E73" s="377"/>
      <c r="F73" s="670"/>
      <c r="AMG73"/>
    </row>
    <row r="74" spans="1:1021" ht="15.75" customHeight="1" x14ac:dyDescent="0.2">
      <c r="A74" s="671" t="s">
        <v>68</v>
      </c>
      <c r="B74" s="367">
        <f>120/30*MC!C60*MC!C61</f>
        <v>6.18624E-3</v>
      </c>
      <c r="C74" s="383">
        <f>(((C19*2)+ (C19*1/3))+(C36)+(C44-C38-C39))*$B$74</f>
        <v>30.147728540774395</v>
      </c>
      <c r="D74" s="383">
        <f>(((D19*2)+ (D19*1/3))+(D36)+(D44-D38-D39))*$B$74</f>
        <v>24.678757693942689</v>
      </c>
      <c r="E74" s="383">
        <f>(((E19*2)+ (E19*1/3))+(E36)+(E44-E38-E39))*$B$74</f>
        <v>32.654404618905602</v>
      </c>
      <c r="F74" s="675">
        <f>(((F19*2)+ (F19*1/3))+(F36)+(F44-F38-F39))*$B$74</f>
        <v>41.207584423219188</v>
      </c>
      <c r="AMG74"/>
    </row>
    <row r="75" spans="1:1021" ht="15.75" customHeight="1" x14ac:dyDescent="0.2">
      <c r="A75" s="684" t="s">
        <v>423</v>
      </c>
      <c r="B75" s="401"/>
      <c r="C75" s="402"/>
      <c r="D75" s="402"/>
      <c r="E75" s="402"/>
      <c r="F75" s="685"/>
      <c r="AMG75"/>
    </row>
    <row r="76" spans="1:1021" ht="15.75" customHeight="1" x14ac:dyDescent="0.2">
      <c r="A76" s="655" t="s">
        <v>465</v>
      </c>
      <c r="B76" s="360"/>
      <c r="C76" s="360"/>
      <c r="D76" s="360"/>
      <c r="E76" s="360"/>
      <c r="F76" s="676"/>
      <c r="AMG76"/>
    </row>
    <row r="77" spans="1:1021" ht="15.75" customHeight="1" x14ac:dyDescent="0.2">
      <c r="A77" s="671" t="s">
        <v>45</v>
      </c>
      <c r="B77" s="388">
        <f>B69</f>
        <v>9.9662923611111107E-2</v>
      </c>
      <c r="C77" s="389">
        <f>C69</f>
        <v>286.36811436791123</v>
      </c>
      <c r="D77" s="389">
        <f>D69</f>
        <v>234.50214117789957</v>
      </c>
      <c r="E77" s="389">
        <f>E69</f>
        <v>310.14167979539343</v>
      </c>
      <c r="F77" s="677">
        <f>F69</f>
        <v>391.25811527777535</v>
      </c>
      <c r="AMG77"/>
    </row>
    <row r="78" spans="1:1021" ht="15.75" customHeight="1" x14ac:dyDescent="0.2">
      <c r="A78" s="671" t="s">
        <v>463</v>
      </c>
      <c r="B78" s="388">
        <f>B72</f>
        <v>0</v>
      </c>
      <c r="C78" s="389">
        <f>C72</f>
        <v>0</v>
      </c>
      <c r="D78" s="389">
        <f>D72</f>
        <v>0</v>
      </c>
      <c r="E78" s="389">
        <f>E72</f>
        <v>0</v>
      </c>
      <c r="F78" s="677">
        <f>F72</f>
        <v>0</v>
      </c>
      <c r="AMG78"/>
    </row>
    <row r="79" spans="1:1021" ht="15.75" customHeight="1" x14ac:dyDescent="0.2">
      <c r="A79" s="671" t="s">
        <v>67</v>
      </c>
      <c r="B79" s="388">
        <f>B74</f>
        <v>6.18624E-3</v>
      </c>
      <c r="C79" s="389">
        <f>C74</f>
        <v>30.147728540774395</v>
      </c>
      <c r="D79" s="389">
        <f>D74</f>
        <v>24.678757693942689</v>
      </c>
      <c r="E79" s="389">
        <f>E74</f>
        <v>32.654404618905602</v>
      </c>
      <c r="F79" s="677">
        <f>F74</f>
        <v>41.207584423219188</v>
      </c>
      <c r="AMG79"/>
    </row>
    <row r="80" spans="1:1021" ht="15.75" customHeight="1" x14ac:dyDescent="0.2">
      <c r="A80" s="672" t="s">
        <v>423</v>
      </c>
      <c r="B80" s="370"/>
      <c r="C80" s="371">
        <f>SUM(C77:C79)</f>
        <v>316.51584290868561</v>
      </c>
      <c r="D80" s="371">
        <f>SUM(D77:D79)</f>
        <v>259.18089887184226</v>
      </c>
      <c r="E80" s="371">
        <f>SUM(E77:E79)</f>
        <v>342.796084414299</v>
      </c>
      <c r="F80" s="673">
        <f>SUM(F77:F79)</f>
        <v>432.46569970099455</v>
      </c>
      <c r="AMG80"/>
    </row>
    <row r="81" spans="1:1021" ht="15.75" customHeight="1" x14ac:dyDescent="0.2">
      <c r="A81" s="678"/>
      <c r="B81" s="374"/>
      <c r="C81" s="374"/>
      <c r="D81" s="374"/>
      <c r="E81" s="374"/>
      <c r="F81" s="679"/>
      <c r="AMG81"/>
    </row>
    <row r="82" spans="1:1021" ht="15.75" customHeight="1" x14ac:dyDescent="0.2">
      <c r="A82" s="882" t="s">
        <v>466</v>
      </c>
      <c r="B82" s="883"/>
      <c r="C82" s="883"/>
      <c r="D82" s="883"/>
      <c r="E82" s="883"/>
      <c r="F82" s="884"/>
      <c r="AMG82"/>
    </row>
    <row r="83" spans="1:1021" ht="15.75" customHeight="1" x14ac:dyDescent="0.2">
      <c r="A83" s="655" t="s">
        <v>467</v>
      </c>
      <c r="B83" s="360" t="s">
        <v>439</v>
      </c>
      <c r="C83" s="360" t="s">
        <v>416</v>
      </c>
      <c r="D83" s="360" t="s">
        <v>416</v>
      </c>
      <c r="E83" s="360" t="s">
        <v>416</v>
      </c>
      <c r="F83" s="676" t="s">
        <v>416</v>
      </c>
      <c r="AMG83"/>
    </row>
    <row r="84" spans="1:1021" ht="15.75" customHeight="1" x14ac:dyDescent="0.2">
      <c r="A84" s="671" t="s">
        <v>468</v>
      </c>
      <c r="B84" s="407">
        <f>Insumos!F110</f>
        <v>33.474166666666669</v>
      </c>
      <c r="C84" s="364">
        <f>B84</f>
        <v>33.474166666666669</v>
      </c>
      <c r="D84" s="364">
        <f>B84</f>
        <v>33.474166666666669</v>
      </c>
      <c r="E84" s="364">
        <f>B84</f>
        <v>33.474166666666669</v>
      </c>
      <c r="F84" s="658">
        <f>Insumos!F110</f>
        <v>33.474166666666669</v>
      </c>
      <c r="AMG84"/>
    </row>
    <row r="85" spans="1:1021" ht="15.75" customHeight="1" x14ac:dyDescent="0.2">
      <c r="A85" s="686" t="s">
        <v>469</v>
      </c>
      <c r="B85" s="407">
        <f>Insumos!E59</f>
        <v>512.71338333333324</v>
      </c>
      <c r="C85" s="364">
        <f>B85</f>
        <v>512.71338333333324</v>
      </c>
      <c r="D85" s="364">
        <f>B85</f>
        <v>512.71338333333324</v>
      </c>
      <c r="E85" s="364"/>
      <c r="F85" s="658"/>
      <c r="AMG85"/>
    </row>
    <row r="86" spans="1:1021" ht="15.75" customHeight="1" x14ac:dyDescent="0.2">
      <c r="A86" s="686" t="s">
        <v>470</v>
      </c>
      <c r="B86" s="409">
        <f>Insumos!F100</f>
        <v>33.533803333333339</v>
      </c>
      <c r="C86" s="364">
        <f>B86</f>
        <v>33.533803333333339</v>
      </c>
      <c r="D86" s="364">
        <f>B86</f>
        <v>33.533803333333339</v>
      </c>
      <c r="E86" s="364"/>
      <c r="F86" s="658"/>
      <c r="AMG86"/>
    </row>
    <row r="87" spans="1:1021" ht="15.75" customHeight="1" x14ac:dyDescent="0.2">
      <c r="A87" s="686" t="s">
        <v>471</v>
      </c>
      <c r="B87" s="407">
        <f>Insumos!G121</f>
        <v>6.11</v>
      </c>
      <c r="C87" s="364">
        <f>Insumos!G121</f>
        <v>6.11</v>
      </c>
      <c r="D87" s="364">
        <f>Insumos!F121</f>
        <v>6.11</v>
      </c>
      <c r="E87" s="364"/>
      <c r="F87" s="658"/>
      <c r="AMG87"/>
    </row>
    <row r="88" spans="1:1021" ht="15.75" customHeight="1" x14ac:dyDescent="0.2">
      <c r="A88" s="686" t="s">
        <v>472</v>
      </c>
      <c r="B88" s="367">
        <v>0.12</v>
      </c>
      <c r="C88" s="364"/>
      <c r="D88" s="364"/>
      <c r="E88" s="364">
        <f>B88*(E119+E120+E84)</f>
        <v>430.58795279999998</v>
      </c>
      <c r="F88" s="658"/>
      <c r="AMG88"/>
    </row>
    <row r="89" spans="1:1021" ht="15.75" customHeight="1" x14ac:dyDescent="0.2">
      <c r="A89" s="686" t="s">
        <v>473</v>
      </c>
      <c r="B89" s="407"/>
      <c r="C89" s="364"/>
      <c r="D89" s="364"/>
      <c r="E89" s="364"/>
      <c r="F89" s="658"/>
      <c r="AMG89"/>
    </row>
    <row r="90" spans="1:1021" ht="15.75" customHeight="1" x14ac:dyDescent="0.2">
      <c r="A90" s="686" t="s">
        <v>474</v>
      </c>
      <c r="B90" s="407"/>
      <c r="C90" s="364"/>
      <c r="D90" s="364"/>
      <c r="E90" s="364"/>
      <c r="F90" s="658"/>
      <c r="AMG90"/>
    </row>
    <row r="91" spans="1:1021" ht="15.75" customHeight="1" x14ac:dyDescent="0.2">
      <c r="A91" s="746" t="s">
        <v>423</v>
      </c>
      <c r="B91" s="747"/>
      <c r="C91" s="748">
        <f>SUM(C84:C90)</f>
        <v>585.83135333333325</v>
      </c>
      <c r="D91" s="748">
        <f>SUM(D84:D90)</f>
        <v>585.83135333333325</v>
      </c>
      <c r="E91" s="748">
        <f>SUM(E84:E90)</f>
        <v>464.06211946666667</v>
      </c>
      <c r="F91" s="749">
        <f>SUM(F84:F90)</f>
        <v>33.474166666666669</v>
      </c>
      <c r="AMG91"/>
    </row>
    <row r="92" spans="1:1021" ht="15.75" customHeight="1" x14ac:dyDescent="0.2">
      <c r="A92" s="750"/>
      <c r="B92" s="744"/>
      <c r="C92" s="745"/>
      <c r="D92" s="745"/>
      <c r="E92" s="745"/>
      <c r="F92" s="751"/>
      <c r="AMG92"/>
    </row>
    <row r="93" spans="1:1021" ht="15.75" customHeight="1" x14ac:dyDescent="0.2">
      <c r="A93" s="885" t="s">
        <v>475</v>
      </c>
      <c r="B93" s="886"/>
      <c r="C93" s="886"/>
      <c r="D93" s="886"/>
      <c r="E93" s="886"/>
      <c r="F93" s="887"/>
      <c r="AMG93"/>
    </row>
    <row r="94" spans="1:1021" ht="15.75" customHeight="1" x14ac:dyDescent="0.2">
      <c r="A94" s="655" t="s">
        <v>476</v>
      </c>
      <c r="B94" s="360" t="s">
        <v>415</v>
      </c>
      <c r="C94" s="360" t="s">
        <v>416</v>
      </c>
      <c r="D94" s="360" t="s">
        <v>416</v>
      </c>
      <c r="E94" s="360" t="s">
        <v>416</v>
      </c>
      <c r="F94" s="676" t="s">
        <v>416</v>
      </c>
      <c r="AMG94"/>
    </row>
    <row r="95" spans="1:1021" ht="15.75" customHeight="1" x14ac:dyDescent="0.2">
      <c r="A95" s="657" t="s">
        <v>73</v>
      </c>
      <c r="B95" s="367">
        <f>MC!C64</f>
        <v>0.06</v>
      </c>
      <c r="C95" s="383">
        <f>($C$19+$C$49+$C$60+$C$80+$C$91)*$B$95</f>
        <v>260.47522681452108</v>
      </c>
      <c r="D95" s="383">
        <f>($D$19+$D$49+$D$60+$D$80+$D$91)*$B$95</f>
        <v>221.81369471049231</v>
      </c>
      <c r="E95" s="383">
        <f>($E$19+$E$49+$E$60+$E$80+$E$91)*$B$95</f>
        <v>269.05827019285795</v>
      </c>
      <c r="F95" s="675">
        <f>($F$19+$F$49+$F$60+$F$80+$F$91)*$B$95</f>
        <v>295.53084070205966</v>
      </c>
      <c r="AMG95"/>
    </row>
    <row r="96" spans="1:1021" ht="15.75" customHeight="1" x14ac:dyDescent="0.2">
      <c r="A96" s="657" t="s">
        <v>74</v>
      </c>
      <c r="B96" s="367">
        <f>MC!C65</f>
        <v>6.7900000000000002E-2</v>
      </c>
      <c r="C96" s="383">
        <f>($C$19+$C$49+$C$60+$C$80+$C$91+C95)*B96</f>
        <v>312.45739957913906</v>
      </c>
      <c r="D96" s="383">
        <f>($D$19+$D$49+$D$60+$D$80+$D$91+$D$95)*$B$96</f>
        <v>266.08031438488291</v>
      </c>
      <c r="E96" s="383">
        <f>($E$19+$E$49+$E$60+$E$80+$E$91+$E$95)*$B$96</f>
        <v>322.75333231434598</v>
      </c>
      <c r="F96" s="675">
        <f>($F$19+$F$49+$F$60+$F$80+$F$91+$F$95)*$B$96</f>
        <v>354.50894547816733</v>
      </c>
      <c r="AMG96"/>
    </row>
    <row r="97" spans="1:1021" ht="15.75" customHeight="1" x14ac:dyDescent="0.2">
      <c r="A97" s="688" t="s">
        <v>477</v>
      </c>
      <c r="B97" s="414">
        <f>B98+B99</f>
        <v>0.1125</v>
      </c>
      <c r="C97" s="415">
        <f>((C19+C49+C60+C80+C91+C95+C96)/(1-($B$97)))*$B$97</f>
        <v>622.92503746086072</v>
      </c>
      <c r="D97" s="415">
        <f>((D19+D49+D60+D80+D91+D95+D96)/(1-($B$97)))*$B$97</f>
        <v>530.4662012455243</v>
      </c>
      <c r="E97" s="415">
        <f>((E19+E49+E60+E80+E91+E95+E96)/(1-($B$97)))*$B$97</f>
        <v>643.45133734497938</v>
      </c>
      <c r="F97" s="689">
        <f>((F19+F49+F60+F80+F91+F95+F96)/(1-($B$97)))*$B$97</f>
        <v>706.76034057649281</v>
      </c>
      <c r="G97" s="418"/>
      <c r="AMG97"/>
    </row>
    <row r="98" spans="1:1021" ht="15.75" customHeight="1" x14ac:dyDescent="0.2">
      <c r="A98" s="657" t="s">
        <v>478</v>
      </c>
      <c r="B98" s="367">
        <f>0.0165+0.076</f>
        <v>9.2499999999999999E-2</v>
      </c>
      <c r="C98" s="416">
        <f>((C$19+C$49+C$60+C$80+C$91+C$95+C$96)/(1-($B$97)))*$B$98</f>
        <v>512.18280857892989</v>
      </c>
      <c r="D98" s="416">
        <f>((D$19+D$49+D$60+D$80+D$91+D$95+D$96)/(1-($B$97)))*$B$98</f>
        <v>436.16109880187548</v>
      </c>
      <c r="E98" s="416">
        <f>((E$19+E$49+E$60+E$80+E$91+E$95+E$96)/(1-($B$97)))*$B$98</f>
        <v>529.0599884836497</v>
      </c>
      <c r="F98" s="690">
        <f>((F$19+F$49+F$60+F$80+F$91+F$95+F$96)/(1-($B$97)))*$B$98</f>
        <v>581.11405780733855</v>
      </c>
      <c r="AMG98"/>
    </row>
    <row r="99" spans="1:1021" ht="15.75" customHeight="1" x14ac:dyDescent="0.2">
      <c r="A99" s="657" t="s">
        <v>479</v>
      </c>
      <c r="B99" s="367">
        <v>0.02</v>
      </c>
      <c r="C99" s="417">
        <f>((C$19+C$49+C$60+C$80+C$91+C$95+C$96)/(1-($B$97)))*$B$99</f>
        <v>110.74222888193079</v>
      </c>
      <c r="D99" s="417">
        <f>((D$19+D$49+D$60+D$80+D$91+D$95+D$96)/(1-($B$97)))*$B$99</f>
        <v>94.305102443648764</v>
      </c>
      <c r="E99" s="417">
        <f>((E$19+E$49+E$60+E$80+E$91+E$95+E$96)/(1-($B$97)))*$B$99</f>
        <v>114.39134886132966</v>
      </c>
      <c r="F99" s="691">
        <f>((F$19+F$49+F$60+F$80+F$91+F$95+F$96)/(1-($B$97)))*$B$99</f>
        <v>125.64628276915428</v>
      </c>
      <c r="AMG99"/>
    </row>
    <row r="100" spans="1:1021" ht="15.75" customHeight="1" x14ac:dyDescent="0.2">
      <c r="A100" s="688" t="s">
        <v>480</v>
      </c>
      <c r="B100" s="414">
        <f>B101+B102</f>
        <v>0.1225</v>
      </c>
      <c r="C100" s="415">
        <f>((C19+C49+C60+C80+C91+C95+C96)/(1-($B$100)))*$B$100</f>
        <v>686.02602257877004</v>
      </c>
      <c r="D100" s="415">
        <f>((D19+D49+D60+D80+D91+D95+D96)/(1-($B$100)))*$B$100</f>
        <v>584.20130235301633</v>
      </c>
      <c r="E100" s="415">
        <f>((E19+E49+E60+E80+E91+E95+E96)/(1-($B$100)))*$B$100</f>
        <v>708.63159310642072</v>
      </c>
      <c r="F100" s="689">
        <f>((F19+F49+F60+F80+F91+F95+F96)/(1-($B$100)))*$B$100</f>
        <v>778.35366409168046</v>
      </c>
      <c r="G100" s="418"/>
      <c r="AMG100"/>
    </row>
    <row r="101" spans="1:1021" ht="15.75" customHeight="1" x14ac:dyDescent="0.2">
      <c r="A101" s="657" t="s">
        <v>478</v>
      </c>
      <c r="B101" s="367">
        <f>0.0165+0.076</f>
        <v>9.2499999999999999E-2</v>
      </c>
      <c r="C101" s="416">
        <f>((C19+C49+C60+C80+C91+C95+C96)/(1-($B$100)))*$B$101</f>
        <v>518.01964970233655</v>
      </c>
      <c r="D101" s="416">
        <f>((D19+D49+D60+D80+D91+D95+D96)/(1-($B$100)))*$B$101</f>
        <v>441.13159565431846</v>
      </c>
      <c r="E101" s="416">
        <f>((E19+E49+E60+E80+E91+E95+E96)/(1-($B$100)))*$B$101</f>
        <v>535.08916214158296</v>
      </c>
      <c r="F101" s="690">
        <f>((F19+F49+F60+F80+F91+F95+F96)/(1-($B$100)))*$B$101</f>
        <v>587.73644023249335</v>
      </c>
      <c r="AMG101"/>
    </row>
    <row r="102" spans="1:1021" ht="15.75" customHeight="1" x14ac:dyDescent="0.2">
      <c r="A102" s="657" t="s">
        <v>479</v>
      </c>
      <c r="B102" s="367">
        <v>0.03</v>
      </c>
      <c r="C102" s="417">
        <f>((C19+C49+C60+C80+C91+C95+C96)/(1-($B$100)))*$B$102</f>
        <v>168.00637287643346</v>
      </c>
      <c r="D102" s="417">
        <f>((D19+D49+D60+D80+D91+D95+D96)/(1-($B$100)))*$B$102</f>
        <v>143.06970669869787</v>
      </c>
      <c r="E102" s="417">
        <f>((E19+E49+E60+E80+E91+E95+E96)/(1-($B$100)))*$B$102</f>
        <v>173.54243096483771</v>
      </c>
      <c r="F102" s="691">
        <f>((F19+F49+F60+F80+F91+F95+F96)/(1-($B$100)))*$B$102</f>
        <v>190.61722385918705</v>
      </c>
      <c r="AMG102"/>
    </row>
    <row r="103" spans="1:1021" ht="15.75" customHeight="1" x14ac:dyDescent="0.2">
      <c r="A103" s="688" t="s">
        <v>481</v>
      </c>
      <c r="B103" s="414">
        <f>B104+B105</f>
        <v>0.13250000000000001</v>
      </c>
      <c r="C103" s="415">
        <f>((C19+C49+C60+C80+C91+C95+C96)/(1-($B$103)))*$B$103</f>
        <v>750.58178545155897</v>
      </c>
      <c r="D103" s="415">
        <f>((D19+D49+D60+D80+D91+D95+D96)/(1-($B$103)))*$B$103</f>
        <v>639.17525305376489</v>
      </c>
      <c r="E103" s="415">
        <f>((E19+E49+E60+E80+E91+E95+E96)/(1-($B$103)))*$B$103</f>
        <v>775.31456369809712</v>
      </c>
      <c r="F103" s="689">
        <f>((F19+F49+F60+F80+F91+F95+F96)/(1-($B$103)))*$B$103</f>
        <v>851.59755414324138</v>
      </c>
      <c r="G103" s="418"/>
      <c r="AMG103"/>
    </row>
    <row r="104" spans="1:1021" ht="15.75" customHeight="1" x14ac:dyDescent="0.2">
      <c r="A104" s="657" t="s">
        <v>478</v>
      </c>
      <c r="B104" s="367">
        <f>0.0165+0.076</f>
        <v>9.2499999999999999E-2</v>
      </c>
      <c r="C104" s="416">
        <f>((C19+C49+C60+C80+C91+C95+C96)/(1-($B$103)))*$B$104</f>
        <v>523.99105776806948</v>
      </c>
      <c r="D104" s="416">
        <f>((D19+D49+D60+D80+D91+D95+D96)/(1-($B$103)))*$B$104</f>
        <v>446.21668609413774</v>
      </c>
      <c r="E104" s="416">
        <f>((E19+E49+E60+E80+E91+E95+E96)/(1-($B$103)))*$B$104</f>
        <v>541.25733692131303</v>
      </c>
      <c r="F104" s="690">
        <f>((F19+F49+F60+F80+F91+F95+F96)/(1-($B$103)))*$B$104</f>
        <v>594.51150006226283</v>
      </c>
      <c r="AMG104"/>
    </row>
    <row r="105" spans="1:1021" ht="15.75" customHeight="1" x14ac:dyDescent="0.2">
      <c r="A105" s="657" t="s">
        <v>479</v>
      </c>
      <c r="B105" s="367">
        <v>0.04</v>
      </c>
      <c r="C105" s="417">
        <f>((C19+C49+C60+C80+C91+C95+C96)/(1-($B$103)))*$B$105</f>
        <v>226.59072768348949</v>
      </c>
      <c r="D105" s="417">
        <f>((D19+D49+D60+D80+D91+D95+D96)/(1-($B$103)))*$B$105</f>
        <v>192.95856695962715</v>
      </c>
      <c r="E105" s="417">
        <f>((E19+E49+E60+E80+E91+E95+E96)/(1-($B$103)))*$B$105</f>
        <v>234.05722677678401</v>
      </c>
      <c r="F105" s="691">
        <f>((F19+F49+F60+F80+F91+F95+F96)/(1-($B$103)))*$B$105</f>
        <v>257.0860540809785</v>
      </c>
      <c r="AMG105"/>
    </row>
    <row r="106" spans="1:1021" ht="15.75" customHeight="1" x14ac:dyDescent="0.2">
      <c r="A106" s="688" t="s">
        <v>482</v>
      </c>
      <c r="B106" s="414">
        <f>B107+B108</f>
        <v>0.14250000000000002</v>
      </c>
      <c r="C106" s="415">
        <f>((C19+C49+C60+C80+C91+C95+C96)/(1-($B$106)))*$B$106</f>
        <v>816.64322209397585</v>
      </c>
      <c r="D106" s="415">
        <f>((D19+D49+D60+D80+D91+D95+D96)/(1-($B$106)))*$B$106</f>
        <v>695.43139502450174</v>
      </c>
      <c r="E106" s="415">
        <f>((E19+E49+E60+E80+E91+E95+E96)/(1-($B$106)))*$B$106</f>
        <v>843.5528222336028</v>
      </c>
      <c r="F106" s="689">
        <f>((F19+F49+F60+F80+F91+F95+F96)/(1-($B$106)))*$B$106</f>
        <v>926.54975649921175</v>
      </c>
      <c r="G106" s="418"/>
      <c r="AMG106"/>
    </row>
    <row r="107" spans="1:1021" ht="15.75" customHeight="1" x14ac:dyDescent="0.2">
      <c r="A107" s="657" t="s">
        <v>478</v>
      </c>
      <c r="B107" s="367">
        <f>0.0165+0.076</f>
        <v>9.2499999999999999E-2</v>
      </c>
      <c r="C107" s="416">
        <f>((C19+C49+C60+C80+C91+C95+C96)/(1-($B$106)))*$B$107</f>
        <v>530.101740657493</v>
      </c>
      <c r="D107" s="416">
        <f>((D19+D49+D60+D80+D91+D95+D96)/(1-($B$106)))*$B$107</f>
        <v>451.42037922643095</v>
      </c>
      <c r="E107" s="416">
        <f>((E19+E49+E60+E80+E91+E95+E96)/(1-($B$106)))*$B$107</f>
        <v>547.56937583584738</v>
      </c>
      <c r="F107" s="690">
        <f>((F19+F49+F60+F80+F91+F95+F96)/(1-($B$106)))*$B$107</f>
        <v>601.44457878019</v>
      </c>
      <c r="AMG107"/>
    </row>
    <row r="108" spans="1:1021" ht="15.75" customHeight="1" x14ac:dyDescent="0.2">
      <c r="A108" s="657" t="s">
        <v>479</v>
      </c>
      <c r="B108" s="419">
        <v>0.05</v>
      </c>
      <c r="C108" s="417">
        <f>((C19+C49+C60+C80+C91+C95+C96)/(1-($B$106)))*$B$108</f>
        <v>286.54148143648274</v>
      </c>
      <c r="D108" s="417">
        <f>((D19+D49+D60+D80+D91+D95+D96)/(1-($B$106)))*$B$108</f>
        <v>244.01101579807079</v>
      </c>
      <c r="E108" s="417">
        <f>((E19+E49+E60+E80+E91+E95+E96)/(1-($B$106)))*$B$108</f>
        <v>295.98344639775536</v>
      </c>
      <c r="F108" s="691">
        <f>((F19+F49+F60+F80+F91+F95+F96)/(1-($B$106)))*$B$108</f>
        <v>325.10517771902164</v>
      </c>
      <c r="AMG108"/>
    </row>
    <row r="109" spans="1:1021" ht="15.75" customHeight="1" x14ac:dyDescent="0.2">
      <c r="A109" s="875" t="s">
        <v>483</v>
      </c>
      <c r="B109" s="420">
        <v>0.02</v>
      </c>
      <c r="C109" s="421">
        <f>C95+C96+C97</f>
        <v>1195.857663854521</v>
      </c>
      <c r="D109" s="421">
        <f>D95+D96+D97</f>
        <v>1018.3602103408996</v>
      </c>
      <c r="E109" s="421">
        <f>E95+E96+E97</f>
        <v>1235.2629398521833</v>
      </c>
      <c r="F109" s="692">
        <f>F95+F96+F97</f>
        <v>1356.8001267567197</v>
      </c>
      <c r="AMG109"/>
    </row>
    <row r="110" spans="1:1021" ht="15.75" customHeight="1" x14ac:dyDescent="0.2">
      <c r="A110" s="875"/>
      <c r="B110" s="422">
        <v>0.03</v>
      </c>
      <c r="C110" s="423">
        <f>C95+C96+C100</f>
        <v>1258.9586489724302</v>
      </c>
      <c r="D110" s="423">
        <f>D95+D96+D100</f>
        <v>1072.0953114483916</v>
      </c>
      <c r="E110" s="423">
        <f>E95+E96+E100</f>
        <v>1300.4431956136245</v>
      </c>
      <c r="F110" s="693">
        <f>F95+F96+F100</f>
        <v>1428.3934502719076</v>
      </c>
      <c r="AMG110"/>
    </row>
    <row r="111" spans="1:1021" ht="15.75" customHeight="1" x14ac:dyDescent="0.2">
      <c r="A111" s="875"/>
      <c r="B111" s="422">
        <v>0.04</v>
      </c>
      <c r="C111" s="423">
        <f>C95+C96+C103</f>
        <v>1323.514411845219</v>
      </c>
      <c r="D111" s="423">
        <f>D95+D96+D103</f>
        <v>1127.0692621491401</v>
      </c>
      <c r="E111" s="423">
        <f>E95+E96+E103</f>
        <v>1367.1261662053012</v>
      </c>
      <c r="F111" s="693">
        <f>F95+F96+F103</f>
        <v>1501.6373403234684</v>
      </c>
      <c r="AMG111"/>
    </row>
    <row r="112" spans="1:1021" ht="15.75" customHeight="1" x14ac:dyDescent="0.2">
      <c r="A112" s="875"/>
      <c r="B112" s="424">
        <v>0.05</v>
      </c>
      <c r="C112" s="425">
        <f>C95+C96+C106</f>
        <v>1389.575848487636</v>
      </c>
      <c r="D112" s="425">
        <f>D95+D96+D106</f>
        <v>1183.325404119877</v>
      </c>
      <c r="E112" s="425">
        <f>E95+E96+E106</f>
        <v>1435.3644247408067</v>
      </c>
      <c r="F112" s="694">
        <f>F95+F96+F106</f>
        <v>1576.5895426794386</v>
      </c>
      <c r="AMG112"/>
    </row>
    <row r="113" spans="1:1021" ht="15.75" customHeight="1" x14ac:dyDescent="0.2">
      <c r="A113" s="657" t="s">
        <v>484</v>
      </c>
      <c r="B113" s="426"/>
      <c r="C113" s="427"/>
      <c r="D113" s="427"/>
      <c r="E113" s="427"/>
      <c r="F113" s="695"/>
      <c r="AMG113"/>
    </row>
    <row r="114" spans="1:1021" ht="15.75" customHeight="1" x14ac:dyDescent="0.2">
      <c r="A114" s="696"/>
      <c r="B114" s="430"/>
      <c r="C114" s="431"/>
      <c r="D114" s="431"/>
      <c r="E114" s="431"/>
      <c r="F114" s="697"/>
      <c r="AMG114"/>
    </row>
    <row r="115" spans="1:1021" ht="15.75" customHeight="1" x14ac:dyDescent="0.2">
      <c r="A115" s="888"/>
      <c r="B115" s="889"/>
      <c r="C115" s="889"/>
      <c r="D115" s="889"/>
      <c r="E115" s="889"/>
      <c r="F115" s="890"/>
      <c r="AMG115"/>
    </row>
    <row r="116" spans="1:1021" ht="15.75" customHeight="1" x14ac:dyDescent="0.2">
      <c r="A116" s="891"/>
      <c r="B116" s="892"/>
      <c r="C116" s="892"/>
      <c r="D116" s="892"/>
      <c r="E116" s="892"/>
      <c r="F116" s="893"/>
      <c r="AMG116"/>
    </row>
    <row r="117" spans="1:1021" ht="54.75" customHeight="1" x14ac:dyDescent="0.2">
      <c r="A117" s="876" t="s">
        <v>485</v>
      </c>
      <c r="B117" s="877"/>
      <c r="C117" s="433" t="str">
        <f>C10</f>
        <v xml:space="preserve">Servente 44h </v>
      </c>
      <c r="D117" s="433" t="str">
        <f>D10</f>
        <v>Servente 30h</v>
      </c>
      <c r="E117" s="433" t="str">
        <f>E10</f>
        <v>Servente 44h limpeza de esquadrias com risco</v>
      </c>
      <c r="F117" s="698" t="str">
        <f>F10</f>
        <v>Encarregado limpeza de esquadrias com risco</v>
      </c>
      <c r="AMG117"/>
    </row>
    <row r="118" spans="1:1021" ht="15.75" customHeight="1" x14ac:dyDescent="0.2">
      <c r="A118" s="899" t="s">
        <v>486</v>
      </c>
      <c r="B118" s="900"/>
      <c r="C118" s="435" t="s">
        <v>416</v>
      </c>
      <c r="D118" s="435" t="s">
        <v>416</v>
      </c>
      <c r="E118" s="435" t="s">
        <v>416</v>
      </c>
      <c r="F118" s="699" t="s">
        <v>416</v>
      </c>
      <c r="AMG118"/>
    </row>
    <row r="119" spans="1:1021" ht="14.25" customHeight="1" x14ac:dyDescent="0.2">
      <c r="A119" s="901" t="s">
        <v>487</v>
      </c>
      <c r="B119" s="902"/>
      <c r="C119" s="437">
        <f>C19</f>
        <v>1729.0079999999998</v>
      </c>
      <c r="D119" s="437">
        <f>D19</f>
        <v>1414.6429090909089</v>
      </c>
      <c r="E119" s="437">
        <f>E19</f>
        <v>1873.0919999999999</v>
      </c>
      <c r="F119" s="700">
        <f>F19</f>
        <v>2364.7439999999997</v>
      </c>
      <c r="AMG119"/>
    </row>
    <row r="120" spans="1:1021" ht="14.25" customHeight="1" x14ac:dyDescent="0.2">
      <c r="A120" s="903" t="s">
        <v>488</v>
      </c>
      <c r="B120" s="904"/>
      <c r="C120" s="439">
        <f>C49</f>
        <v>1596.6485600000001</v>
      </c>
      <c r="D120" s="439">
        <f>D49</f>
        <v>1344.5806400000001</v>
      </c>
      <c r="E120" s="439">
        <f>E49</f>
        <v>1681.6667733333334</v>
      </c>
      <c r="F120" s="701">
        <f>F49</f>
        <v>1939.9394133333333</v>
      </c>
      <c r="AMG120"/>
    </row>
    <row r="121" spans="1:1021" ht="14.25" customHeight="1" x14ac:dyDescent="0.2">
      <c r="A121" s="903" t="s">
        <v>489</v>
      </c>
      <c r="B121" s="904"/>
      <c r="C121" s="439">
        <f>C60</f>
        <v>113.25002399999997</v>
      </c>
      <c r="D121" s="439">
        <f>D60</f>
        <v>92.659110545454524</v>
      </c>
      <c r="E121" s="439">
        <f>E60</f>
        <v>122.68752599999998</v>
      </c>
      <c r="F121" s="701">
        <f>F60</f>
        <v>154.89073199999996</v>
      </c>
      <c r="AMG121"/>
    </row>
    <row r="122" spans="1:1021" ht="14.25" customHeight="1" x14ac:dyDescent="0.2">
      <c r="A122" s="903" t="s">
        <v>490</v>
      </c>
      <c r="B122" s="904"/>
      <c r="C122" s="439">
        <f>C80</f>
        <v>316.51584290868561</v>
      </c>
      <c r="D122" s="439">
        <f>D80</f>
        <v>259.18089887184226</v>
      </c>
      <c r="E122" s="439">
        <f>E80</f>
        <v>342.796084414299</v>
      </c>
      <c r="F122" s="701">
        <f>F80</f>
        <v>432.46569970099455</v>
      </c>
      <c r="AMG122"/>
    </row>
    <row r="123" spans="1:1021" ht="15.75" customHeight="1" x14ac:dyDescent="0.2">
      <c r="A123" s="903" t="s">
        <v>491</v>
      </c>
      <c r="B123" s="904"/>
      <c r="C123" s="439">
        <f>C91</f>
        <v>585.83135333333325</v>
      </c>
      <c r="D123" s="439">
        <f>D91</f>
        <v>585.83135333333325</v>
      </c>
      <c r="E123" s="439">
        <f>E91</f>
        <v>464.06211946666667</v>
      </c>
      <c r="F123" s="701">
        <f>F91</f>
        <v>33.474166666666669</v>
      </c>
      <c r="AMG123"/>
    </row>
    <row r="124" spans="1:1021" ht="15.75" customHeight="1" x14ac:dyDescent="0.2">
      <c r="A124" s="908" t="s">
        <v>492</v>
      </c>
      <c r="B124" s="909"/>
      <c r="C124" s="441">
        <f>SUM(C119:C123)</f>
        <v>4341.2537802420184</v>
      </c>
      <c r="D124" s="441">
        <f>SUM(D119:D123)</f>
        <v>3696.8949118415385</v>
      </c>
      <c r="E124" s="441">
        <f>SUM(E119:E123)</f>
        <v>4484.3045032142991</v>
      </c>
      <c r="F124" s="702">
        <f>SUM(F119:F123)</f>
        <v>4925.5140117009942</v>
      </c>
      <c r="AMG124"/>
    </row>
    <row r="125" spans="1:1021" ht="15.75" customHeight="1" x14ac:dyDescent="0.2">
      <c r="A125" s="905" t="s">
        <v>493</v>
      </c>
      <c r="B125" s="906"/>
      <c r="C125" s="443">
        <f t="shared" ref="C125:F128" si="7">C109</f>
        <v>1195.857663854521</v>
      </c>
      <c r="D125" s="443">
        <f t="shared" si="7"/>
        <v>1018.3602103408996</v>
      </c>
      <c r="E125" s="443">
        <f t="shared" si="7"/>
        <v>1235.2629398521833</v>
      </c>
      <c r="F125" s="703">
        <f t="shared" si="7"/>
        <v>1356.8001267567197</v>
      </c>
      <c r="AMG125"/>
    </row>
    <row r="126" spans="1:1021" ht="15.75" customHeight="1" x14ac:dyDescent="0.2">
      <c r="A126" s="903" t="s">
        <v>494</v>
      </c>
      <c r="B126" s="904"/>
      <c r="C126" s="445">
        <f t="shared" si="7"/>
        <v>1258.9586489724302</v>
      </c>
      <c r="D126" s="445">
        <f t="shared" si="7"/>
        <v>1072.0953114483916</v>
      </c>
      <c r="E126" s="445">
        <f t="shared" si="7"/>
        <v>1300.4431956136245</v>
      </c>
      <c r="F126" s="704">
        <f t="shared" si="7"/>
        <v>1428.3934502719076</v>
      </c>
      <c r="AMG126"/>
    </row>
    <row r="127" spans="1:1021" ht="15.75" customHeight="1" x14ac:dyDescent="0.2">
      <c r="A127" s="903" t="s">
        <v>495</v>
      </c>
      <c r="B127" s="904"/>
      <c r="C127" s="445">
        <f t="shared" si="7"/>
        <v>1323.514411845219</v>
      </c>
      <c r="D127" s="445">
        <f t="shared" si="7"/>
        <v>1127.0692621491401</v>
      </c>
      <c r="E127" s="445">
        <f t="shared" si="7"/>
        <v>1367.1261662053012</v>
      </c>
      <c r="F127" s="704">
        <f t="shared" si="7"/>
        <v>1501.6373403234684</v>
      </c>
      <c r="AMG127"/>
    </row>
    <row r="128" spans="1:1021" ht="15.75" customHeight="1" x14ac:dyDescent="0.2">
      <c r="A128" s="905" t="s">
        <v>496</v>
      </c>
      <c r="B128" s="906"/>
      <c r="C128" s="445">
        <f t="shared" si="7"/>
        <v>1389.575848487636</v>
      </c>
      <c r="D128" s="445">
        <f t="shared" si="7"/>
        <v>1183.325404119877</v>
      </c>
      <c r="E128" s="445">
        <f t="shared" si="7"/>
        <v>1435.3644247408067</v>
      </c>
      <c r="F128" s="704">
        <f t="shared" si="7"/>
        <v>1576.5895426794386</v>
      </c>
      <c r="AMG128"/>
    </row>
    <row r="129" spans="1:1021" ht="15.75" customHeight="1" x14ac:dyDescent="0.2">
      <c r="A129" s="705" t="s">
        <v>497</v>
      </c>
      <c r="B129" s="448"/>
      <c r="C129" s="449">
        <f>C124+C125</f>
        <v>5537.1114440965393</v>
      </c>
      <c r="D129" s="449">
        <f>D124+D125</f>
        <v>4715.2551221824378</v>
      </c>
      <c r="E129" s="449">
        <f>E124+E125</f>
        <v>5719.5674430664822</v>
      </c>
      <c r="F129" s="706">
        <f>F124+F125</f>
        <v>6282.3141384577139</v>
      </c>
      <c r="AMG129"/>
    </row>
    <row r="130" spans="1:1021" ht="15.75" customHeight="1" x14ac:dyDescent="0.2">
      <c r="A130" s="707" t="s">
        <v>498</v>
      </c>
      <c r="B130" s="452"/>
      <c r="C130" s="453">
        <f>C124+C126</f>
        <v>5600.212429214449</v>
      </c>
      <c r="D130" s="453">
        <f>D124+D126</f>
        <v>4768.9902232899303</v>
      </c>
      <c r="E130" s="453">
        <f>E124+E126</f>
        <v>5784.7476988279232</v>
      </c>
      <c r="F130" s="708">
        <f>F124+F126</f>
        <v>6353.9074619729017</v>
      </c>
      <c r="AMG130"/>
    </row>
    <row r="131" spans="1:1021" ht="15.75" customHeight="1" x14ac:dyDescent="0.2">
      <c r="A131" s="707" t="s">
        <v>499</v>
      </c>
      <c r="B131" s="452"/>
      <c r="C131" s="453">
        <f>C124+C127</f>
        <v>5664.7681920872374</v>
      </c>
      <c r="D131" s="453">
        <f>D124+D127</f>
        <v>4823.9641739906783</v>
      </c>
      <c r="E131" s="453">
        <f>E124+E127</f>
        <v>5851.4306694196002</v>
      </c>
      <c r="F131" s="708">
        <f>F124+F127</f>
        <v>6427.1513520244625</v>
      </c>
      <c r="AMG131"/>
    </row>
    <row r="132" spans="1:1021" ht="15.75" customHeight="1" x14ac:dyDescent="0.2">
      <c r="A132" s="707" t="s">
        <v>500</v>
      </c>
      <c r="B132" s="452"/>
      <c r="C132" s="453">
        <f>C124+C128</f>
        <v>5730.8296287296544</v>
      </c>
      <c r="D132" s="453">
        <f>D124+D128</f>
        <v>4880.2203159614155</v>
      </c>
      <c r="E132" s="453">
        <f>E124+E128</f>
        <v>5919.6689279551056</v>
      </c>
      <c r="F132" s="708">
        <f>F124+F128</f>
        <v>6502.1035543804328</v>
      </c>
      <c r="AMG132"/>
    </row>
    <row r="133" spans="1:1021" ht="15.75" customHeight="1" x14ac:dyDescent="0.2">
      <c r="A133" s="709" t="s">
        <v>501</v>
      </c>
      <c r="B133" s="456"/>
      <c r="C133" s="457">
        <f>C129/220</f>
        <v>25.168688382256995</v>
      </c>
      <c r="D133" s="457"/>
      <c r="E133" s="457"/>
      <c r="F133" s="710"/>
      <c r="AMG133"/>
    </row>
    <row r="134" spans="1:1021" ht="15.75" customHeight="1" x14ac:dyDescent="0.2">
      <c r="A134" s="711" t="s">
        <v>502</v>
      </c>
      <c r="B134" s="459"/>
      <c r="C134" s="460">
        <f>C130/220</f>
        <v>25.455511041883859</v>
      </c>
      <c r="D134" s="460"/>
      <c r="E134" s="460"/>
      <c r="F134" s="712"/>
      <c r="AMG134"/>
    </row>
    <row r="135" spans="1:1021" ht="15.75" customHeight="1" x14ac:dyDescent="0.2">
      <c r="A135" s="711" t="s">
        <v>503</v>
      </c>
      <c r="B135" s="459"/>
      <c r="C135" s="460">
        <f>C131/220</f>
        <v>25.748946327669263</v>
      </c>
      <c r="D135" s="460"/>
      <c r="E135" s="460"/>
      <c r="F135" s="712"/>
      <c r="AMG135"/>
    </row>
    <row r="136" spans="1:1021" ht="15.75" customHeight="1" x14ac:dyDescent="0.2">
      <c r="A136" s="713" t="s">
        <v>504</v>
      </c>
      <c r="B136" s="714"/>
      <c r="C136" s="715">
        <f>C132/220</f>
        <v>26.049225585134792</v>
      </c>
      <c r="D136" s="715"/>
      <c r="E136" s="715"/>
      <c r="F136" s="716"/>
      <c r="AMG136"/>
    </row>
    <row r="137" spans="1:1021" x14ac:dyDescent="0.2">
      <c r="A137" s="464"/>
    </row>
    <row r="138" spans="1:1021" ht="14.25" customHeight="1" x14ac:dyDescent="0.2">
      <c r="A138" s="907" t="s">
        <v>505</v>
      </c>
      <c r="B138" s="907"/>
      <c r="C138" s="907" t="s">
        <v>506</v>
      </c>
      <c r="D138" s="907"/>
      <c r="E138" s="907" t="s">
        <v>507</v>
      </c>
      <c r="F138" s="907"/>
      <c r="G138" s="907" t="s">
        <v>508</v>
      </c>
      <c r="H138" s="907"/>
      <c r="I138" s="907" t="s">
        <v>509</v>
      </c>
      <c r="J138" s="907"/>
      <c r="AMF138"/>
      <c r="AMG138"/>
    </row>
    <row r="139" spans="1:1021" ht="38.25" x14ac:dyDescent="0.2">
      <c r="A139" s="465" t="s">
        <v>510</v>
      </c>
      <c r="B139" s="466" t="s">
        <v>511</v>
      </c>
      <c r="C139" s="466" t="s">
        <v>512</v>
      </c>
      <c r="D139" s="466" t="s">
        <v>513</v>
      </c>
      <c r="E139" s="466" t="s">
        <v>512</v>
      </c>
      <c r="F139" s="466" t="s">
        <v>513</v>
      </c>
      <c r="G139" s="466" t="s">
        <v>512</v>
      </c>
      <c r="H139" s="466" t="s">
        <v>513</v>
      </c>
      <c r="I139" s="466" t="s">
        <v>512</v>
      </c>
      <c r="J139" s="466" t="s">
        <v>513</v>
      </c>
      <c r="AMF139"/>
      <c r="AMG139"/>
    </row>
    <row r="140" spans="1:1021" x14ac:dyDescent="0.2">
      <c r="A140" s="467" t="s">
        <v>514</v>
      </c>
      <c r="B140" s="468">
        <f>1/'Prod. GEXCHA'!C22</f>
        <v>1.1111111111111111E-3</v>
      </c>
      <c r="C140" s="469">
        <f>C129</f>
        <v>5537.1114440965393</v>
      </c>
      <c r="D140" s="469">
        <f>B140*C140</f>
        <v>6.1523460489961552</v>
      </c>
      <c r="E140" s="469">
        <f>C130</f>
        <v>5600.212429214449</v>
      </c>
      <c r="F140" s="469">
        <f>B140*E140</f>
        <v>6.2224582546827207</v>
      </c>
      <c r="G140" s="469">
        <f>C131</f>
        <v>5664.7681920872374</v>
      </c>
      <c r="H140" s="469">
        <f>B140*G140</f>
        <v>6.2941868800969303</v>
      </c>
      <c r="I140" s="469">
        <f>C132</f>
        <v>5730.8296287296544</v>
      </c>
      <c r="J140" s="469">
        <f>B140*I140</f>
        <v>6.3675884763662829</v>
      </c>
      <c r="AMF140"/>
      <c r="AMG140"/>
    </row>
    <row r="141" spans="1:1021" x14ac:dyDescent="0.2">
      <c r="A141" s="470" t="s">
        <v>515</v>
      </c>
      <c r="B141" s="471"/>
      <c r="C141" s="472"/>
      <c r="D141" s="472">
        <f>SUM(D140:D140)</f>
        <v>6.1523460489961552</v>
      </c>
      <c r="E141" s="472"/>
      <c r="F141" s="472">
        <f>SUM(F140:F140)</f>
        <v>6.2224582546827207</v>
      </c>
      <c r="G141" s="472"/>
      <c r="H141" s="472">
        <f>SUM(H140:H140)</f>
        <v>6.2941868800969303</v>
      </c>
      <c r="I141" s="472"/>
      <c r="J141" s="472">
        <f>SUM(J140:J140)</f>
        <v>6.3675884763662829</v>
      </c>
      <c r="K141" s="473"/>
      <c r="L141" s="474"/>
      <c r="AMF141"/>
      <c r="AMG141"/>
    </row>
    <row r="142" spans="1:1021" x14ac:dyDescent="0.2">
      <c r="A142" s="475"/>
      <c r="B142" s="476"/>
      <c r="C142" s="476"/>
      <c r="D142" s="477"/>
      <c r="AMF142"/>
      <c r="AMG142"/>
    </row>
    <row r="143" spans="1:1021" ht="14.25" customHeight="1" x14ac:dyDescent="0.2">
      <c r="A143" s="910" t="s">
        <v>516</v>
      </c>
      <c r="B143" s="910"/>
      <c r="C143" s="910" t="s">
        <v>506</v>
      </c>
      <c r="D143" s="910"/>
      <c r="E143" s="910" t="s">
        <v>507</v>
      </c>
      <c r="F143" s="910"/>
      <c r="G143" s="910" t="s">
        <v>508</v>
      </c>
      <c r="H143" s="910"/>
      <c r="I143" s="910" t="s">
        <v>509</v>
      </c>
      <c r="J143" s="910"/>
      <c r="AMF143"/>
      <c r="AMG143"/>
    </row>
    <row r="144" spans="1:1021" ht="38.25" x14ac:dyDescent="0.2">
      <c r="A144" s="465" t="s">
        <v>510</v>
      </c>
      <c r="B144" s="466" t="s">
        <v>517</v>
      </c>
      <c r="C144" s="466" t="s">
        <v>512</v>
      </c>
      <c r="D144" s="466" t="s">
        <v>513</v>
      </c>
      <c r="E144" s="466" t="s">
        <v>512</v>
      </c>
      <c r="F144" s="466" t="s">
        <v>513</v>
      </c>
      <c r="G144" s="466" t="s">
        <v>512</v>
      </c>
      <c r="H144" s="466" t="s">
        <v>513</v>
      </c>
      <c r="I144" s="466" t="s">
        <v>512</v>
      </c>
      <c r="J144" s="466" t="s">
        <v>513</v>
      </c>
      <c r="AMF144"/>
      <c r="AMG144"/>
    </row>
    <row r="145" spans="1:1021" x14ac:dyDescent="0.2">
      <c r="A145" s="467" t="s">
        <v>514</v>
      </c>
      <c r="B145" s="478">
        <f>1/'Prod. GEXCHA'!D22</f>
        <v>5.0000000000000001E-4</v>
      </c>
      <c r="C145" s="479">
        <f>C129</f>
        <v>5537.1114440965393</v>
      </c>
      <c r="D145" s="469">
        <f>B145*C145</f>
        <v>2.7685557220482697</v>
      </c>
      <c r="E145" s="469">
        <f>C130</f>
        <v>5600.212429214449</v>
      </c>
      <c r="F145" s="469">
        <f>B145*E145</f>
        <v>2.8001062146072244</v>
      </c>
      <c r="G145" s="469">
        <f>C131</f>
        <v>5664.7681920872374</v>
      </c>
      <c r="H145" s="469">
        <f>B145*G145</f>
        <v>2.8323840960436186</v>
      </c>
      <c r="I145" s="469">
        <f>C132</f>
        <v>5730.8296287296544</v>
      </c>
      <c r="J145" s="469">
        <f>B145*I145</f>
        <v>2.865414814364827</v>
      </c>
      <c r="AMF145"/>
      <c r="AMG145"/>
    </row>
    <row r="146" spans="1:1021" x14ac:dyDescent="0.2">
      <c r="A146" s="470" t="s">
        <v>518</v>
      </c>
      <c r="B146" s="471"/>
      <c r="C146" s="472"/>
      <c r="D146" s="472">
        <f>SUM(D145:D145)</f>
        <v>2.7685557220482697</v>
      </c>
      <c r="E146" s="472"/>
      <c r="F146" s="472">
        <f>SUM(F145:F145)</f>
        <v>2.8001062146072244</v>
      </c>
      <c r="G146" s="472"/>
      <c r="H146" s="472">
        <f>SUM(H145:H145)</f>
        <v>2.8323840960436186</v>
      </c>
      <c r="I146" s="472"/>
      <c r="J146" s="472">
        <f>SUM(J145:J145)</f>
        <v>2.865414814364827</v>
      </c>
      <c r="AMF146"/>
      <c r="AMG146"/>
    </row>
    <row r="147" spans="1:1021" x14ac:dyDescent="0.2">
      <c r="A147" s="475"/>
      <c r="B147" s="480"/>
      <c r="C147" s="480"/>
      <c r="D147" s="480"/>
      <c r="AMF147"/>
      <c r="AMG147"/>
    </row>
    <row r="148" spans="1:1021" ht="14.25" customHeight="1" x14ac:dyDescent="0.2">
      <c r="A148" s="910" t="s">
        <v>519</v>
      </c>
      <c r="B148" s="910"/>
      <c r="C148" s="910" t="s">
        <v>506</v>
      </c>
      <c r="D148" s="910"/>
      <c r="E148" s="910" t="s">
        <v>507</v>
      </c>
      <c r="F148" s="910"/>
      <c r="G148" s="910" t="s">
        <v>508</v>
      </c>
      <c r="H148" s="910"/>
      <c r="I148" s="910" t="s">
        <v>509</v>
      </c>
      <c r="J148" s="910"/>
      <c r="AMF148"/>
      <c r="AMG148"/>
    </row>
    <row r="149" spans="1:1021" ht="38.25" x14ac:dyDescent="0.2">
      <c r="A149" s="465" t="s">
        <v>510</v>
      </c>
      <c r="B149" s="466" t="s">
        <v>517</v>
      </c>
      <c r="C149" s="466" t="s">
        <v>512</v>
      </c>
      <c r="D149" s="466" t="s">
        <v>513</v>
      </c>
      <c r="E149" s="466" t="s">
        <v>512</v>
      </c>
      <c r="F149" s="466" t="s">
        <v>513</v>
      </c>
      <c r="G149" s="466" t="s">
        <v>512</v>
      </c>
      <c r="H149" s="466" t="s">
        <v>513</v>
      </c>
      <c r="I149" s="466" t="s">
        <v>512</v>
      </c>
      <c r="J149" s="466" t="s">
        <v>513</v>
      </c>
      <c r="AMF149"/>
      <c r="AMG149"/>
    </row>
    <row r="150" spans="1:1021" x14ac:dyDescent="0.2">
      <c r="A150" s="467" t="s">
        <v>514</v>
      </c>
      <c r="B150" s="478">
        <f>1/'Prod. GEXCHA'!E22</f>
        <v>7.6923076923076923E-4</v>
      </c>
      <c r="C150" s="479">
        <f>C129</f>
        <v>5537.1114440965393</v>
      </c>
      <c r="D150" s="469">
        <f>B150*C150</f>
        <v>4.2593164954588767</v>
      </c>
      <c r="E150" s="469">
        <f>C130</f>
        <v>5600.212429214449</v>
      </c>
      <c r="F150" s="469">
        <f>B150*E150</f>
        <v>4.3078557147803451</v>
      </c>
      <c r="G150" s="469">
        <f>C131</f>
        <v>5664.7681920872374</v>
      </c>
      <c r="H150" s="469">
        <f>B150*G150</f>
        <v>4.3575139939132592</v>
      </c>
      <c r="I150" s="469">
        <f>C132</f>
        <v>5730.8296287296544</v>
      </c>
      <c r="J150" s="469">
        <f>B150*I150</f>
        <v>4.4083304836381956</v>
      </c>
      <c r="AMF150"/>
      <c r="AMG150"/>
    </row>
    <row r="151" spans="1:1021" x14ac:dyDescent="0.2">
      <c r="A151" s="470" t="s">
        <v>518</v>
      </c>
      <c r="B151" s="471"/>
      <c r="C151" s="472"/>
      <c r="D151" s="472">
        <f>SUM(D150:D150)</f>
        <v>4.2593164954588767</v>
      </c>
      <c r="E151" s="472"/>
      <c r="F151" s="472">
        <f>SUM(F150:F150)</f>
        <v>4.3078557147803451</v>
      </c>
      <c r="G151" s="472"/>
      <c r="H151" s="472">
        <f>SUM(H150:H150)</f>
        <v>4.3575139939132592</v>
      </c>
      <c r="I151" s="472"/>
      <c r="J151" s="472">
        <f>SUM(J150:J150)</f>
        <v>4.4083304836381956</v>
      </c>
      <c r="AMF151"/>
      <c r="AMG151"/>
    </row>
    <row r="152" spans="1:1021" x14ac:dyDescent="0.2">
      <c r="A152" s="475"/>
      <c r="B152" s="480"/>
      <c r="C152" s="480"/>
      <c r="D152" s="480"/>
      <c r="AMF152"/>
      <c r="AMG152"/>
    </row>
    <row r="153" spans="1:1021" ht="14.25" customHeight="1" x14ac:dyDescent="0.2">
      <c r="A153" s="910" t="s">
        <v>520</v>
      </c>
      <c r="B153" s="910"/>
      <c r="C153" s="910" t="s">
        <v>506</v>
      </c>
      <c r="D153" s="910"/>
      <c r="E153" s="910" t="s">
        <v>507</v>
      </c>
      <c r="F153" s="910"/>
      <c r="G153" s="910" t="s">
        <v>508</v>
      </c>
      <c r="H153" s="910"/>
      <c r="I153" s="910" t="s">
        <v>509</v>
      </c>
      <c r="J153" s="910"/>
      <c r="AMF153"/>
      <c r="AMG153"/>
    </row>
    <row r="154" spans="1:1021" ht="38.25" x14ac:dyDescent="0.2">
      <c r="A154" s="465" t="s">
        <v>510</v>
      </c>
      <c r="B154" s="466" t="s">
        <v>517</v>
      </c>
      <c r="C154" s="466" t="s">
        <v>512</v>
      </c>
      <c r="D154" s="466" t="s">
        <v>513</v>
      </c>
      <c r="E154" s="466" t="s">
        <v>512</v>
      </c>
      <c r="F154" s="466" t="s">
        <v>513</v>
      </c>
      <c r="G154" s="466" t="s">
        <v>512</v>
      </c>
      <c r="H154" s="466" t="s">
        <v>513</v>
      </c>
      <c r="I154" s="466" t="s">
        <v>512</v>
      </c>
      <c r="J154" s="466" t="s">
        <v>513</v>
      </c>
      <c r="AMF154"/>
      <c r="AMG154"/>
    </row>
    <row r="155" spans="1:1021" x14ac:dyDescent="0.2">
      <c r="A155" s="467" t="s">
        <v>514</v>
      </c>
      <c r="B155" s="478">
        <f>1/'Prod. GEXCHA'!F22</f>
        <v>3.3333333333333335E-3</v>
      </c>
      <c r="C155" s="469">
        <f>C129</f>
        <v>5537.1114440965393</v>
      </c>
      <c r="D155" s="469">
        <f>B155*C155</f>
        <v>18.457038146988467</v>
      </c>
      <c r="E155" s="469">
        <f>C130</f>
        <v>5600.212429214449</v>
      </c>
      <c r="F155" s="469">
        <f>B155*E155</f>
        <v>18.667374764048166</v>
      </c>
      <c r="G155" s="469">
        <f>C131</f>
        <v>5664.7681920872374</v>
      </c>
      <c r="H155" s="469">
        <f>B155*G155</f>
        <v>18.882560640290791</v>
      </c>
      <c r="I155" s="469">
        <f>C132</f>
        <v>5730.8296287296544</v>
      </c>
      <c r="J155" s="469">
        <f>B155*I155</f>
        <v>19.102765429098849</v>
      </c>
      <c r="AMF155"/>
      <c r="AMG155"/>
    </row>
    <row r="156" spans="1:1021" x14ac:dyDescent="0.2">
      <c r="A156" s="470" t="s">
        <v>518</v>
      </c>
      <c r="B156" s="471"/>
      <c r="C156" s="472"/>
      <c r="D156" s="472">
        <f>SUM(D155:D155)</f>
        <v>18.457038146988467</v>
      </c>
      <c r="E156" s="472"/>
      <c r="F156" s="472">
        <f>SUM(F155:F155)</f>
        <v>18.667374764048166</v>
      </c>
      <c r="G156" s="472"/>
      <c r="H156" s="472">
        <f>SUM(H155:H155)</f>
        <v>18.882560640290791</v>
      </c>
      <c r="I156" s="472"/>
      <c r="J156" s="472">
        <f>SUM(J155:J155)</f>
        <v>19.102765429098849</v>
      </c>
      <c r="AMF156"/>
      <c r="AMG156"/>
    </row>
    <row r="157" spans="1:1021" x14ac:dyDescent="0.2">
      <c r="A157" s="475"/>
      <c r="B157" s="481"/>
      <c r="C157" s="481"/>
      <c r="D157" s="481"/>
      <c r="AMF157"/>
      <c r="AMG157"/>
    </row>
    <row r="158" spans="1:1021" ht="14.25" customHeight="1" x14ac:dyDescent="0.2">
      <c r="A158" s="911" t="s">
        <v>521</v>
      </c>
      <c r="B158" s="911"/>
      <c r="C158" s="911" t="s">
        <v>506</v>
      </c>
      <c r="D158" s="911"/>
      <c r="E158" s="911" t="s">
        <v>507</v>
      </c>
      <c r="F158" s="911"/>
      <c r="G158" s="911" t="s">
        <v>508</v>
      </c>
      <c r="H158" s="911"/>
      <c r="I158" s="911" t="s">
        <v>509</v>
      </c>
      <c r="J158" s="911"/>
      <c r="AMF158"/>
      <c r="AMG158"/>
    </row>
    <row r="159" spans="1:1021" ht="38.25" x14ac:dyDescent="0.2">
      <c r="A159" s="465" t="s">
        <v>510</v>
      </c>
      <c r="B159" s="466" t="s">
        <v>517</v>
      </c>
      <c r="C159" s="466" t="s">
        <v>512</v>
      </c>
      <c r="D159" s="466" t="s">
        <v>513</v>
      </c>
      <c r="E159" s="466" t="s">
        <v>512</v>
      </c>
      <c r="F159" s="466" t="s">
        <v>513</v>
      </c>
      <c r="G159" s="466" t="s">
        <v>512</v>
      </c>
      <c r="H159" s="466" t="s">
        <v>513</v>
      </c>
      <c r="I159" s="466" t="s">
        <v>512</v>
      </c>
      <c r="J159" s="466" t="s">
        <v>513</v>
      </c>
      <c r="AMF159"/>
      <c r="AMG159"/>
    </row>
    <row r="160" spans="1:1021" x14ac:dyDescent="0.2">
      <c r="A160" s="467" t="s">
        <v>522</v>
      </c>
      <c r="B160" s="478">
        <f>1/'Prod. GEXCHA'!G22</f>
        <v>3.7037037037037035E-4</v>
      </c>
      <c r="C160" s="469">
        <f>C129</f>
        <v>5537.1114440965393</v>
      </c>
      <c r="D160" s="469">
        <f>B160*C160</f>
        <v>2.0507820163320516</v>
      </c>
      <c r="E160" s="469">
        <f>C130</f>
        <v>5600.212429214449</v>
      </c>
      <c r="F160" s="469">
        <f>B160*E160</f>
        <v>2.0741527515609071</v>
      </c>
      <c r="G160" s="469">
        <f>C131</f>
        <v>5664.7681920872374</v>
      </c>
      <c r="H160" s="469">
        <f>B160*G160</f>
        <v>2.0980622933656434</v>
      </c>
      <c r="I160" s="469">
        <f>C132</f>
        <v>5730.8296287296544</v>
      </c>
      <c r="J160" s="469">
        <f>B160*I160</f>
        <v>2.1225294921220943</v>
      </c>
      <c r="AMF160"/>
      <c r="AMG160"/>
    </row>
    <row r="161" spans="1:1021" x14ac:dyDescent="0.2">
      <c r="A161" s="482" t="s">
        <v>523</v>
      </c>
      <c r="B161" s="483"/>
      <c r="C161" s="484"/>
      <c r="D161" s="485">
        <f>SUM(D160:D160)</f>
        <v>2.0507820163320516</v>
      </c>
      <c r="E161" s="484"/>
      <c r="F161" s="485">
        <f>SUM(F160:F160)</f>
        <v>2.0741527515609071</v>
      </c>
      <c r="G161" s="484"/>
      <c r="H161" s="485">
        <f>SUM(H160:H160)</f>
        <v>2.0980622933656434</v>
      </c>
      <c r="I161" s="484"/>
      <c r="J161" s="485">
        <f>SUM(J160:J160)</f>
        <v>2.1225294921220943</v>
      </c>
      <c r="K161" s="473"/>
      <c r="L161" s="474"/>
      <c r="AMF161"/>
      <c r="AMG161"/>
    </row>
    <row r="162" spans="1:1021" x14ac:dyDescent="0.2">
      <c r="A162" s="467" t="s">
        <v>524</v>
      </c>
      <c r="B162" s="478">
        <f>1/'Prod. GEXCHA'!H22</f>
        <v>1.0000000000000001E-5</v>
      </c>
      <c r="C162" s="469">
        <f>C129</f>
        <v>5537.1114440965393</v>
      </c>
      <c r="D162" s="469">
        <f>B162*C162</f>
        <v>5.5371114440965395E-2</v>
      </c>
      <c r="E162" s="469">
        <f>C130</f>
        <v>5600.212429214449</v>
      </c>
      <c r="F162" s="469">
        <f>B162*E162</f>
        <v>5.6002124292144496E-2</v>
      </c>
      <c r="G162" s="469">
        <f>C131</f>
        <v>5664.7681920872374</v>
      </c>
      <c r="H162" s="469">
        <f>B162*G162</f>
        <v>5.6647681920872377E-2</v>
      </c>
      <c r="I162" s="469">
        <f>C132</f>
        <v>5730.8296287296544</v>
      </c>
      <c r="J162" s="469">
        <f>B162*I162</f>
        <v>5.7308296287296549E-2</v>
      </c>
      <c r="AMF162"/>
      <c r="AMG162"/>
    </row>
    <row r="163" spans="1:1021" x14ac:dyDescent="0.2">
      <c r="A163" s="482" t="s">
        <v>525</v>
      </c>
      <c r="B163" s="486"/>
      <c r="C163" s="484"/>
      <c r="D163" s="485">
        <f>SUM(D162:D162)</f>
        <v>5.5371114440965395E-2</v>
      </c>
      <c r="E163" s="484"/>
      <c r="F163" s="485">
        <f>SUM(F162:F162)</f>
        <v>5.6002124292144496E-2</v>
      </c>
      <c r="G163" s="484"/>
      <c r="H163" s="485">
        <f>SUM(H162:H162)</f>
        <v>5.6647681920872377E-2</v>
      </c>
      <c r="I163" s="484"/>
      <c r="J163" s="485">
        <f>SUM(J162:J162)</f>
        <v>5.7308296287296549E-2</v>
      </c>
      <c r="AMF163"/>
      <c r="AMG163"/>
    </row>
    <row r="164" spans="1:1021" x14ac:dyDescent="0.2">
      <c r="A164" s="467" t="s">
        <v>526</v>
      </c>
      <c r="B164" s="478">
        <f>1/'Prod. GEXCHA'!I22</f>
        <v>1.1111111111111112E-4</v>
      </c>
      <c r="C164" s="469">
        <f>C129</f>
        <v>5537.1114440965393</v>
      </c>
      <c r="D164" s="469">
        <f>B164*C164</f>
        <v>0.61523460489961557</v>
      </c>
      <c r="E164" s="469">
        <f>C130</f>
        <v>5600.212429214449</v>
      </c>
      <c r="F164" s="469">
        <f>B164*E164</f>
        <v>0.62224582546827212</v>
      </c>
      <c r="G164" s="469">
        <f>C131</f>
        <v>5664.7681920872374</v>
      </c>
      <c r="H164" s="469">
        <f>B164*G164</f>
        <v>0.62941868800969303</v>
      </c>
      <c r="I164" s="469">
        <f>C132</f>
        <v>5730.8296287296544</v>
      </c>
      <c r="J164" s="469">
        <f>B164*I164</f>
        <v>0.63675884763662827</v>
      </c>
      <c r="AMF164"/>
      <c r="AMG164"/>
    </row>
    <row r="165" spans="1:1021" x14ac:dyDescent="0.2">
      <c r="A165" s="482" t="s">
        <v>527</v>
      </c>
      <c r="B165" s="486"/>
      <c r="C165" s="484"/>
      <c r="D165" s="485">
        <f>SUM(D164:D164)</f>
        <v>0.61523460489961557</v>
      </c>
      <c r="E165" s="484"/>
      <c r="F165" s="485">
        <f>SUM(F164:F164)</f>
        <v>0.62224582546827212</v>
      </c>
      <c r="G165" s="484"/>
      <c r="H165" s="485">
        <f>SUM(H164:H164)</f>
        <v>0.62941868800969303</v>
      </c>
      <c r="I165" s="484"/>
      <c r="J165" s="485">
        <f>SUM(J164:J164)</f>
        <v>0.63675884763662827</v>
      </c>
      <c r="AMF165"/>
      <c r="AMG165"/>
    </row>
    <row r="166" spans="1:1021" x14ac:dyDescent="0.2">
      <c r="A166" s="475"/>
      <c r="B166" s="480"/>
      <c r="C166" s="480"/>
      <c r="D166" s="480"/>
      <c r="AMF166"/>
      <c r="AMG166"/>
    </row>
    <row r="167" spans="1:1021" ht="14.25" customHeight="1" x14ac:dyDescent="0.2">
      <c r="A167" s="912" t="s">
        <v>528</v>
      </c>
      <c r="B167" s="912"/>
      <c r="C167" s="912" t="s">
        <v>506</v>
      </c>
      <c r="D167" s="912"/>
      <c r="E167" s="912" t="s">
        <v>507</v>
      </c>
      <c r="F167" s="912"/>
      <c r="G167" s="912" t="s">
        <v>508</v>
      </c>
      <c r="H167" s="912"/>
      <c r="I167" s="912" t="s">
        <v>509</v>
      </c>
      <c r="J167" s="912"/>
      <c r="AMF167"/>
      <c r="AMG167"/>
    </row>
    <row r="168" spans="1:1021" ht="38.25" x14ac:dyDescent="0.2">
      <c r="A168" s="465" t="s">
        <v>510</v>
      </c>
      <c r="B168" s="466" t="s">
        <v>517</v>
      </c>
      <c r="C168" s="466" t="s">
        <v>512</v>
      </c>
      <c r="D168" s="466" t="s">
        <v>513</v>
      </c>
      <c r="E168" s="466" t="s">
        <v>512</v>
      </c>
      <c r="F168" s="466" t="s">
        <v>513</v>
      </c>
      <c r="G168" s="466" t="s">
        <v>512</v>
      </c>
      <c r="H168" s="466" t="s">
        <v>513</v>
      </c>
      <c r="I168" s="466" t="s">
        <v>512</v>
      </c>
      <c r="J168" s="466" t="s">
        <v>513</v>
      </c>
      <c r="AMF168"/>
      <c r="AMG168"/>
    </row>
    <row r="169" spans="1:1021" x14ac:dyDescent="0.2">
      <c r="A169" s="487" t="s">
        <v>529</v>
      </c>
      <c r="B169" s="478">
        <f>(1/'Prod. GEXCHA'!J22)*(1/(30/7*44*6))*8</f>
        <v>4.4191919191919199E-5</v>
      </c>
      <c r="C169" s="469">
        <f>E129</f>
        <v>5719.5674430664822</v>
      </c>
      <c r="D169" s="469">
        <f>B169*C169</f>
        <v>0.25275866225672589</v>
      </c>
      <c r="E169" s="469">
        <f>E130</f>
        <v>5784.7476988279232</v>
      </c>
      <c r="F169" s="469">
        <f>B169*E169</f>
        <v>0.25563910285224412</v>
      </c>
      <c r="G169" s="469">
        <f>E131</f>
        <v>5851.4306694196002</v>
      </c>
      <c r="H169" s="469">
        <f>B169*G169</f>
        <v>0.25858595130010864</v>
      </c>
      <c r="I169" s="469">
        <f>E132</f>
        <v>5919.6689279551056</v>
      </c>
      <c r="J169" s="469">
        <f>B169*I169</f>
        <v>0.26160153090710697</v>
      </c>
      <c r="AMF169"/>
      <c r="AMG169"/>
    </row>
    <row r="170" spans="1:1021" x14ac:dyDescent="0.2">
      <c r="A170" s="487" t="s">
        <v>530</v>
      </c>
      <c r="B170" s="478">
        <f>B169/4</f>
        <v>1.10479797979798E-5</v>
      </c>
      <c r="C170" s="469">
        <f>F129</f>
        <v>6282.3141384577139</v>
      </c>
      <c r="D170" s="469">
        <f>B170*C170</f>
        <v>6.9406879686243692E-2</v>
      </c>
      <c r="E170" s="469">
        <f>F130</f>
        <v>6353.9074619729017</v>
      </c>
      <c r="F170" s="469">
        <f>B170*E170</f>
        <v>7.0197841278109727E-2</v>
      </c>
      <c r="G170" s="469">
        <f>F131</f>
        <v>6427.1513520244625</v>
      </c>
      <c r="H170" s="469">
        <f>B170*G170</f>
        <v>7.1007038295724814E-2</v>
      </c>
      <c r="I170" s="469">
        <f>F132</f>
        <v>6502.1035543804328</v>
      </c>
      <c r="J170" s="469">
        <f>B170*I170</f>
        <v>7.1835108713167672E-2</v>
      </c>
      <c r="AMF170"/>
      <c r="AMG170"/>
    </row>
    <row r="171" spans="1:1021" x14ac:dyDescent="0.2">
      <c r="A171" s="488" t="s">
        <v>531</v>
      </c>
      <c r="B171" s="489"/>
      <c r="C171" s="490"/>
      <c r="D171" s="491">
        <f>SUM(D169:D170)</f>
        <v>0.32216554194296959</v>
      </c>
      <c r="E171" s="490"/>
      <c r="F171" s="491">
        <f>SUM(F169:F170)</f>
        <v>0.32583694413035386</v>
      </c>
      <c r="G171" s="490"/>
      <c r="H171" s="491">
        <f>SUM(H169:H170)</f>
        <v>0.32959298959583344</v>
      </c>
      <c r="I171" s="490"/>
      <c r="J171" s="491">
        <f>SUM(J169:J170)</f>
        <v>0.33343663962027464</v>
      </c>
      <c r="K171" s="473"/>
      <c r="L171" s="474"/>
      <c r="AMF171"/>
      <c r="AMG171"/>
    </row>
    <row r="172" spans="1:1021" x14ac:dyDescent="0.2">
      <c r="A172" s="487" t="s">
        <v>532</v>
      </c>
      <c r="B172" s="478">
        <f>1/'Prod. GEXCHA'!K22*16*(1/188.76)</f>
        <v>2.2306242401936183E-4</v>
      </c>
      <c r="C172" s="469">
        <f>C129</f>
        <v>5537.1114440965393</v>
      </c>
      <c r="D172" s="469">
        <f>B172*C172</f>
        <v>1.2351215007855232</v>
      </c>
      <c r="E172" s="469">
        <f>C130</f>
        <v>5600.212429214449</v>
      </c>
      <c r="F172" s="469">
        <f>B172*E172</f>
        <v>1.2491969594839338</v>
      </c>
      <c r="G172" s="469">
        <f>C131</f>
        <v>5664.7681920872374</v>
      </c>
      <c r="H172" s="469">
        <f>B172*G172</f>
        <v>1.2635969244347571</v>
      </c>
      <c r="I172" s="469">
        <f>C132</f>
        <v>5730.8296287296544</v>
      </c>
      <c r="J172" s="469">
        <f>B172*I172</f>
        <v>1.278332748626416</v>
      </c>
      <c r="AMF172"/>
      <c r="AMG172"/>
    </row>
    <row r="173" spans="1:1021" x14ac:dyDescent="0.2">
      <c r="A173" s="488" t="s">
        <v>533</v>
      </c>
      <c r="B173" s="489"/>
      <c r="C173" s="490"/>
      <c r="D173" s="491">
        <f>SUM(D172:D172)</f>
        <v>1.2351215007855232</v>
      </c>
      <c r="E173" s="490"/>
      <c r="F173" s="491">
        <f>SUM(F172:F172)</f>
        <v>1.2491969594839338</v>
      </c>
      <c r="G173" s="490"/>
      <c r="H173" s="491">
        <f>SUM(H172:H172)</f>
        <v>1.2635969244347571</v>
      </c>
      <c r="I173" s="490"/>
      <c r="J173" s="491">
        <f>SUM(J172:J172)</f>
        <v>1.278332748626416</v>
      </c>
      <c r="K173" s="473"/>
      <c r="L173" s="474"/>
      <c r="AMF173"/>
      <c r="AMG173"/>
    </row>
    <row r="174" spans="1:1021" x14ac:dyDescent="0.2">
      <c r="A174" s="467" t="s">
        <v>534</v>
      </c>
      <c r="B174" s="478">
        <f>1/'Prod. GEXCHA'!L22*16*(1/188.76)</f>
        <v>2.2306242401936183E-4</v>
      </c>
      <c r="C174" s="469">
        <f>C129</f>
        <v>5537.1114440965393</v>
      </c>
      <c r="D174" s="469">
        <f>B174*C174</f>
        <v>1.2351215007855232</v>
      </c>
      <c r="E174" s="469">
        <f>C130</f>
        <v>5600.212429214449</v>
      </c>
      <c r="F174" s="469">
        <f>B174*E174</f>
        <v>1.2491969594839338</v>
      </c>
      <c r="G174" s="469">
        <f>C131</f>
        <v>5664.7681920872374</v>
      </c>
      <c r="H174" s="469">
        <f>B174*G174</f>
        <v>1.2635969244347571</v>
      </c>
      <c r="I174" s="469">
        <f>C132</f>
        <v>5730.8296287296544</v>
      </c>
      <c r="J174" s="469">
        <f>B174*I174</f>
        <v>1.278332748626416</v>
      </c>
      <c r="AMF174"/>
      <c r="AMG174"/>
    </row>
    <row r="175" spans="1:1021" x14ac:dyDescent="0.2">
      <c r="A175" s="488" t="s">
        <v>535</v>
      </c>
      <c r="B175" s="489"/>
      <c r="C175" s="490"/>
      <c r="D175" s="491">
        <f>SUM(D174:D174)</f>
        <v>1.2351215007855232</v>
      </c>
      <c r="E175" s="490"/>
      <c r="F175" s="491">
        <f>SUM(F174:F174)</f>
        <v>1.2491969594839338</v>
      </c>
      <c r="G175" s="490"/>
      <c r="H175" s="491">
        <f>SUM(H174:H174)</f>
        <v>1.2635969244347571</v>
      </c>
      <c r="I175" s="490"/>
      <c r="J175" s="491">
        <f>SUM(J174:J174)</f>
        <v>1.278332748626416</v>
      </c>
      <c r="K175" s="473"/>
      <c r="L175" s="474"/>
      <c r="AMF175"/>
      <c r="AMG175"/>
    </row>
    <row r="176" spans="1:1021" x14ac:dyDescent="0.2">
      <c r="A176" s="464"/>
    </row>
  </sheetData>
  <mergeCells count="57">
    <mergeCell ref="A148:B148"/>
    <mergeCell ref="A153:B153"/>
    <mergeCell ref="A158:B158"/>
    <mergeCell ref="C158:D158"/>
    <mergeCell ref="E158:F158"/>
    <mergeCell ref="G158:H158"/>
    <mergeCell ref="I153:J153"/>
    <mergeCell ref="I167:J167"/>
    <mergeCell ref="A167:B167"/>
    <mergeCell ref="C167:D167"/>
    <mergeCell ref="E167:F167"/>
    <mergeCell ref="G167:H167"/>
    <mergeCell ref="C153:D153"/>
    <mergeCell ref="E153:F153"/>
    <mergeCell ref="G153:H153"/>
    <mergeCell ref="I158:J158"/>
    <mergeCell ref="I148:J148"/>
    <mergeCell ref="C148:D148"/>
    <mergeCell ref="E148:F148"/>
    <mergeCell ref="G148:H148"/>
    <mergeCell ref="E138:F138"/>
    <mergeCell ref="G138:H138"/>
    <mergeCell ref="I138:J138"/>
    <mergeCell ref="A143:B143"/>
    <mergeCell ref="C143:D143"/>
    <mergeCell ref="E143:F143"/>
    <mergeCell ref="G143:H143"/>
    <mergeCell ref="I143:J143"/>
    <mergeCell ref="A127:B127"/>
    <mergeCell ref="A128:B128"/>
    <mergeCell ref="A138:B138"/>
    <mergeCell ref="C138:D138"/>
    <mergeCell ref="A123:B123"/>
    <mergeCell ref="A124:B124"/>
    <mergeCell ref="A125:B125"/>
    <mergeCell ref="A126:B126"/>
    <mergeCell ref="A118:B118"/>
    <mergeCell ref="A119:B119"/>
    <mergeCell ref="A120:B120"/>
    <mergeCell ref="A121:B121"/>
    <mergeCell ref="A122:B122"/>
    <mergeCell ref="A1:F1"/>
    <mergeCell ref="A2:F2"/>
    <mergeCell ref="A3:F3"/>
    <mergeCell ref="A109:A112"/>
    <mergeCell ref="A117:B117"/>
    <mergeCell ref="A50:B50"/>
    <mergeCell ref="A61:B61"/>
    <mergeCell ref="A82:F82"/>
    <mergeCell ref="A93:F93"/>
    <mergeCell ref="A115:F115"/>
    <mergeCell ref="A116:F116"/>
    <mergeCell ref="A20:B20"/>
    <mergeCell ref="A11:F11"/>
    <mergeCell ref="A21:F21"/>
    <mergeCell ref="A51:F51"/>
    <mergeCell ref="A62:F6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E137"/>
  <sheetViews>
    <sheetView zoomScale="80" zoomScaleNormal="80" workbookViewId="0">
      <pane ySplit="10" topLeftCell="A11" activePane="bottomLeft" state="frozen"/>
      <selection pane="bottomLeft" activeCell="A14" sqref="A14"/>
    </sheetView>
  </sheetViews>
  <sheetFormatPr defaultRowHeight="14.25" x14ac:dyDescent="0.2"/>
  <cols>
    <col min="1" max="1" width="55.5" style="332" customWidth="1"/>
    <col min="2" max="2" width="17" style="332" customWidth="1"/>
    <col min="3" max="3" width="15.25" style="332" customWidth="1"/>
    <col min="4" max="4" width="16.25" style="332" customWidth="1"/>
    <col min="5" max="1019" width="9" style="332" customWidth="1"/>
    <col min="1020" max="1025" width="8.375" customWidth="1"/>
  </cols>
  <sheetData>
    <row r="1" spans="1:4" ht="15.75" x14ac:dyDescent="0.2">
      <c r="A1" s="913" t="s">
        <v>399</v>
      </c>
      <c r="B1" s="913"/>
      <c r="C1" s="913"/>
      <c r="D1" s="913"/>
    </row>
    <row r="2" spans="1:4" ht="15.75" x14ac:dyDescent="0.2">
      <c r="A2" s="914" t="s">
        <v>400</v>
      </c>
      <c r="B2" s="914"/>
      <c r="C2" s="914"/>
      <c r="D2" s="914"/>
    </row>
    <row r="3" spans="1:4" ht="15.75" customHeight="1" x14ac:dyDescent="0.2">
      <c r="A3" s="914" t="str">
        <f ca="1">'GEXCHA Limp.Ord. '!A3</f>
        <v>PROCESSO 35014.173954/2023-61</v>
      </c>
      <c r="B3" s="914"/>
      <c r="C3" s="914"/>
      <c r="D3" s="914"/>
    </row>
    <row r="4" spans="1:4" ht="15.75" x14ac:dyDescent="0.2">
      <c r="A4" s="339"/>
      <c r="B4" s="340"/>
      <c r="C4" s="492" t="s">
        <v>536</v>
      </c>
      <c r="D4" s="343" t="s">
        <v>402</v>
      </c>
    </row>
    <row r="5" spans="1:4" x14ac:dyDescent="0.2">
      <c r="A5" s="344"/>
      <c r="B5" s="345" t="s">
        <v>405</v>
      </c>
      <c r="C5" s="493">
        <f>MC!C12</f>
        <v>1440.84</v>
      </c>
      <c r="D5" s="348">
        <f>MC!E12</f>
        <v>1178.8690909090908</v>
      </c>
    </row>
    <row r="6" spans="1:4" x14ac:dyDescent="0.2">
      <c r="A6" s="344"/>
      <c r="B6" s="345" t="s">
        <v>406</v>
      </c>
      <c r="C6" s="494">
        <f>MC!D8</f>
        <v>44927</v>
      </c>
      <c r="D6" s="351">
        <f>MC!D8</f>
        <v>44927</v>
      </c>
    </row>
    <row r="7" spans="1:4" x14ac:dyDescent="0.2">
      <c r="A7" s="344"/>
      <c r="B7" s="345" t="s">
        <v>407</v>
      </c>
      <c r="C7" s="494" t="str">
        <f>MC!C8</f>
        <v xml:space="preserve"> SC000150/2023</v>
      </c>
      <c r="D7" s="351" t="str">
        <f>MC!C8</f>
        <v xml:space="preserve"> SC000150/2023</v>
      </c>
    </row>
    <row r="8" spans="1:4" x14ac:dyDescent="0.2">
      <c r="A8" s="344"/>
      <c r="B8" s="345" t="s">
        <v>408</v>
      </c>
      <c r="C8" s="495" t="str">
        <f>MC!E8</f>
        <v>5143-20</v>
      </c>
      <c r="D8" s="354" t="str">
        <f>MC!E8</f>
        <v>5143-20</v>
      </c>
    </row>
    <row r="9" spans="1:4" x14ac:dyDescent="0.2">
      <c r="A9" s="915"/>
      <c r="B9" s="915"/>
      <c r="C9" s="915"/>
      <c r="D9" s="915"/>
    </row>
    <row r="10" spans="1:4" ht="66.75" customHeight="1" x14ac:dyDescent="0.2">
      <c r="A10" s="355" t="s">
        <v>409</v>
      </c>
      <c r="B10" s="356" t="s">
        <v>410</v>
      </c>
      <c r="C10" s="356" t="s">
        <v>536</v>
      </c>
      <c r="D10" s="357" t="s">
        <v>537</v>
      </c>
    </row>
    <row r="11" spans="1:4" ht="14.25" customHeight="1" x14ac:dyDescent="0.2">
      <c r="A11" s="916" t="s">
        <v>413</v>
      </c>
      <c r="B11" s="917"/>
      <c r="C11" s="917"/>
      <c r="D11" s="918"/>
    </row>
    <row r="12" spans="1:4" ht="14.25" customHeight="1" x14ac:dyDescent="0.2">
      <c r="A12" s="359" t="s">
        <v>414</v>
      </c>
      <c r="B12" s="360" t="s">
        <v>415</v>
      </c>
      <c r="C12" s="360" t="s">
        <v>416</v>
      </c>
      <c r="D12" s="361" t="s">
        <v>416</v>
      </c>
    </row>
    <row r="13" spans="1:4" ht="14.25" customHeight="1" x14ac:dyDescent="0.2">
      <c r="A13" s="362" t="s">
        <v>417</v>
      </c>
      <c r="B13" s="363"/>
      <c r="C13" s="364">
        <f>C5</f>
        <v>1440.84</v>
      </c>
      <c r="D13" s="366">
        <f>D5</f>
        <v>1178.8690909090908</v>
      </c>
    </row>
    <row r="14" spans="1:4" ht="14.25" customHeight="1" x14ac:dyDescent="0.2">
      <c r="A14" s="362" t="s">
        <v>418</v>
      </c>
      <c r="B14" s="367">
        <v>0.2</v>
      </c>
      <c r="C14" s="364">
        <f>C13*$B$14</f>
        <v>288.16800000000001</v>
      </c>
      <c r="D14" s="366">
        <f>D13*$B$14</f>
        <v>235.77381818181817</v>
      </c>
    </row>
    <row r="15" spans="1:4" ht="14.25" customHeight="1" x14ac:dyDescent="0.2">
      <c r="A15" s="362" t="s">
        <v>419</v>
      </c>
      <c r="B15" s="368"/>
      <c r="C15" s="364"/>
      <c r="D15" s="366"/>
    </row>
    <row r="16" spans="1:4" ht="14.25" customHeight="1" x14ac:dyDescent="0.2">
      <c r="A16" s="362" t="s">
        <v>420</v>
      </c>
      <c r="B16" s="368"/>
      <c r="C16" s="364"/>
      <c r="D16" s="366"/>
    </row>
    <row r="17" spans="1:4" ht="14.25" customHeight="1" x14ac:dyDescent="0.2">
      <c r="A17" s="362" t="s">
        <v>421</v>
      </c>
      <c r="B17" s="368"/>
      <c r="C17" s="364"/>
      <c r="D17" s="366"/>
    </row>
    <row r="18" spans="1:4" ht="14.25" customHeight="1" x14ac:dyDescent="0.2">
      <c r="A18" s="362" t="s">
        <v>538</v>
      </c>
      <c r="B18" s="496"/>
      <c r="C18" s="364"/>
      <c r="D18" s="366"/>
    </row>
    <row r="19" spans="1:4" ht="14.25" customHeight="1" x14ac:dyDescent="0.2">
      <c r="A19" s="369" t="s">
        <v>423</v>
      </c>
      <c r="B19" s="370"/>
      <c r="C19" s="371">
        <f>SUM(C13:C18)</f>
        <v>1729.0079999999998</v>
      </c>
      <c r="D19" s="372">
        <f>SUM(D13:D18)</f>
        <v>1414.6429090909089</v>
      </c>
    </row>
    <row r="20" spans="1:4" ht="14.25" customHeight="1" x14ac:dyDescent="0.2">
      <c r="A20" s="881"/>
      <c r="B20" s="881"/>
      <c r="C20" s="374"/>
      <c r="D20" s="375"/>
    </row>
    <row r="21" spans="1:4" ht="14.25" customHeight="1" x14ac:dyDescent="0.2">
      <c r="A21" s="919" t="s">
        <v>424</v>
      </c>
      <c r="B21" s="919"/>
      <c r="C21" s="919"/>
      <c r="D21" s="919"/>
    </row>
    <row r="22" spans="1:4" ht="14.25" customHeight="1" x14ac:dyDescent="0.2">
      <c r="A22" s="376" t="s">
        <v>425</v>
      </c>
      <c r="B22" s="377" t="s">
        <v>415</v>
      </c>
      <c r="C22" s="377" t="s">
        <v>416</v>
      </c>
      <c r="D22" s="378" t="s">
        <v>416</v>
      </c>
    </row>
    <row r="23" spans="1:4" ht="14.25" customHeight="1" x14ac:dyDescent="0.2">
      <c r="A23" s="379" t="s">
        <v>426</v>
      </c>
      <c r="B23" s="367">
        <f>1/12</f>
        <v>8.3333333333333329E-2</v>
      </c>
      <c r="C23" s="364">
        <f>ROUND($B23*C$19,2)</f>
        <v>144.08000000000001</v>
      </c>
      <c r="D23" s="366">
        <f>ROUND($B23*D$19,2)</f>
        <v>117.89</v>
      </c>
    </row>
    <row r="24" spans="1:4" ht="14.25" customHeight="1" x14ac:dyDescent="0.2">
      <c r="A24" s="379" t="s">
        <v>427</v>
      </c>
      <c r="B24" s="367">
        <f>1/3*1/12</f>
        <v>2.7777777777777776E-2</v>
      </c>
      <c r="C24" s="364">
        <f>C$19*$B$24</f>
        <v>48.027999999999992</v>
      </c>
      <c r="D24" s="366">
        <f>D$19*$B$24</f>
        <v>39.295636363636355</v>
      </c>
    </row>
    <row r="25" spans="1:4" ht="14.25" customHeight="1" x14ac:dyDescent="0.2">
      <c r="A25" s="369" t="s">
        <v>423</v>
      </c>
      <c r="B25" s="380">
        <f>SUM(B23:B24)</f>
        <v>0.1111111111111111</v>
      </c>
      <c r="C25" s="371">
        <f>SUM(C23:C24)</f>
        <v>192.108</v>
      </c>
      <c r="D25" s="372">
        <f>SUM(D23:D24)</f>
        <v>157.18563636363635</v>
      </c>
    </row>
    <row r="26" spans="1:4" ht="14.25" customHeight="1" x14ac:dyDescent="0.2">
      <c r="A26" s="376" t="s">
        <v>428</v>
      </c>
      <c r="B26" s="377" t="s">
        <v>415</v>
      </c>
      <c r="C26" s="377" t="s">
        <v>416</v>
      </c>
      <c r="D26" s="378" t="s">
        <v>416</v>
      </c>
    </row>
    <row r="27" spans="1:4" ht="14.25" customHeight="1" x14ac:dyDescent="0.2">
      <c r="A27" s="376" t="s">
        <v>429</v>
      </c>
      <c r="B27" s="381"/>
      <c r="C27" s="381"/>
      <c r="D27" s="382"/>
    </row>
    <row r="28" spans="1:4" ht="14.25" customHeight="1" x14ac:dyDescent="0.2">
      <c r="A28" s="379" t="s">
        <v>430</v>
      </c>
      <c r="B28" s="367">
        <v>0.2</v>
      </c>
      <c r="C28" s="383">
        <f t="shared" ref="C28:C35" si="0">ROUND(($C$19+$C$25)*B28,2)</f>
        <v>384.22</v>
      </c>
      <c r="D28" s="384">
        <f t="shared" ref="D28:D35" si="1">ROUND(($D$19+$D$25)*B28,2)</f>
        <v>314.37</v>
      </c>
    </row>
    <row r="29" spans="1:4" ht="14.25" customHeight="1" x14ac:dyDescent="0.2">
      <c r="A29" s="379" t="s">
        <v>431</v>
      </c>
      <c r="B29" s="367">
        <v>2.5000000000000001E-2</v>
      </c>
      <c r="C29" s="383">
        <f t="shared" si="0"/>
        <v>48.03</v>
      </c>
      <c r="D29" s="384">
        <f t="shared" si="1"/>
        <v>39.299999999999997</v>
      </c>
    </row>
    <row r="30" spans="1:4" ht="14.25" customHeight="1" x14ac:dyDescent="0.2">
      <c r="A30" s="379" t="s">
        <v>432</v>
      </c>
      <c r="B30" s="367">
        <v>0.03</v>
      </c>
      <c r="C30" s="383">
        <f t="shared" si="0"/>
        <v>57.63</v>
      </c>
      <c r="D30" s="384">
        <f t="shared" si="1"/>
        <v>47.15</v>
      </c>
    </row>
    <row r="31" spans="1:4" ht="14.25" customHeight="1" x14ac:dyDescent="0.2">
      <c r="A31" s="379" t="s">
        <v>433</v>
      </c>
      <c r="B31" s="367">
        <v>1.4999999999999999E-2</v>
      </c>
      <c r="C31" s="383">
        <f t="shared" si="0"/>
        <v>28.82</v>
      </c>
      <c r="D31" s="384">
        <f t="shared" si="1"/>
        <v>23.58</v>
      </c>
    </row>
    <row r="32" spans="1:4" ht="14.25" customHeight="1" x14ac:dyDescent="0.2">
      <c r="A32" s="379" t="s">
        <v>434</v>
      </c>
      <c r="B32" s="367">
        <v>0.01</v>
      </c>
      <c r="C32" s="383">
        <f t="shared" si="0"/>
        <v>19.21</v>
      </c>
      <c r="D32" s="384">
        <f t="shared" si="1"/>
        <v>15.72</v>
      </c>
    </row>
    <row r="33" spans="1:4" ht="14.25" customHeight="1" x14ac:dyDescent="0.2">
      <c r="A33" s="379" t="s">
        <v>435</v>
      </c>
      <c r="B33" s="367">
        <v>6.0000000000000001E-3</v>
      </c>
      <c r="C33" s="383">
        <f t="shared" si="0"/>
        <v>11.53</v>
      </c>
      <c r="D33" s="384">
        <f t="shared" si="1"/>
        <v>9.43</v>
      </c>
    </row>
    <row r="34" spans="1:4" ht="14.25" customHeight="1" x14ac:dyDescent="0.2">
      <c r="A34" s="379" t="s">
        <v>436</v>
      </c>
      <c r="B34" s="367">
        <v>2E-3</v>
      </c>
      <c r="C34" s="383">
        <f t="shared" si="0"/>
        <v>3.84</v>
      </c>
      <c r="D34" s="384">
        <f t="shared" si="1"/>
        <v>3.14</v>
      </c>
    </row>
    <row r="35" spans="1:4" ht="14.25" customHeight="1" x14ac:dyDescent="0.2">
      <c r="A35" s="379" t="s">
        <v>437</v>
      </c>
      <c r="B35" s="367">
        <v>0.08</v>
      </c>
      <c r="C35" s="383">
        <f t="shared" si="0"/>
        <v>153.69</v>
      </c>
      <c r="D35" s="384">
        <f t="shared" si="1"/>
        <v>125.75</v>
      </c>
    </row>
    <row r="36" spans="1:4" ht="14.25" customHeight="1" x14ac:dyDescent="0.2">
      <c r="A36" s="369" t="s">
        <v>423</v>
      </c>
      <c r="B36" s="380">
        <f>SUM(B28:B35)</f>
        <v>0.36800000000000005</v>
      </c>
      <c r="C36" s="371">
        <f>SUM(C27:C35)</f>
        <v>706.97</v>
      </c>
      <c r="D36" s="372">
        <f>SUM(D27:D35)</f>
        <v>578.44000000000005</v>
      </c>
    </row>
    <row r="37" spans="1:4" ht="14.25" customHeight="1" x14ac:dyDescent="0.2">
      <c r="A37" s="376" t="s">
        <v>438</v>
      </c>
      <c r="B37" s="377" t="s">
        <v>439</v>
      </c>
      <c r="C37" s="377" t="s">
        <v>416</v>
      </c>
      <c r="D37" s="378" t="s">
        <v>416</v>
      </c>
    </row>
    <row r="38" spans="1:4" ht="14.25" customHeight="1" x14ac:dyDescent="0.2">
      <c r="A38" s="379" t="s">
        <v>440</v>
      </c>
      <c r="B38" s="385">
        <f>MC!D87</f>
        <v>4.2894285714285711</v>
      </c>
      <c r="C38" s="364">
        <f>ROUND(((2*22*$B$38)-0.06*C$13),2)</f>
        <v>102.28</v>
      </c>
      <c r="D38" s="366">
        <f>ROUND(((2*22*$B$38)-0.06*D$13),2)</f>
        <v>118</v>
      </c>
    </row>
    <row r="39" spans="1:4" ht="14.25" customHeight="1" x14ac:dyDescent="0.2">
      <c r="A39" s="379" t="s">
        <v>441</v>
      </c>
      <c r="B39" s="386"/>
      <c r="C39" s="383">
        <f>MC!J20</f>
        <v>463.26</v>
      </c>
      <c r="D39" s="384">
        <f>MC!J21</f>
        <v>380.93</v>
      </c>
    </row>
    <row r="40" spans="1:4" ht="14.25" customHeight="1" x14ac:dyDescent="0.2">
      <c r="A40" s="379" t="s">
        <v>442</v>
      </c>
      <c r="B40" s="367">
        <f>MC!C25</f>
        <v>0</v>
      </c>
      <c r="C40" s="383"/>
      <c r="D40" s="384"/>
    </row>
    <row r="41" spans="1:4" ht="14.25" customHeight="1" x14ac:dyDescent="0.2">
      <c r="A41" s="379" t="s">
        <v>443</v>
      </c>
      <c r="B41" s="387">
        <f>MC!E24</f>
        <v>11</v>
      </c>
      <c r="C41" s="383">
        <f>B41</f>
        <v>11</v>
      </c>
      <c r="D41" s="384">
        <f>B41</f>
        <v>11</v>
      </c>
    </row>
    <row r="42" spans="1:4" ht="14.25" customHeight="1" x14ac:dyDescent="0.2">
      <c r="A42" s="379" t="s">
        <v>444</v>
      </c>
      <c r="B42" s="367">
        <f>MC!C23</f>
        <v>7.0000000000000007E-2</v>
      </c>
      <c r="C42" s="383">
        <f>$B$42*C19</f>
        <v>121.03055999999999</v>
      </c>
      <c r="D42" s="383">
        <f>$B$42*D19</f>
        <v>99.025003636363635</v>
      </c>
    </row>
    <row r="43" spans="1:4" ht="14.25" customHeight="1" x14ac:dyDescent="0.2">
      <c r="A43" s="379" t="s">
        <v>445</v>
      </c>
      <c r="B43" s="367"/>
      <c r="C43" s="383"/>
      <c r="D43" s="384"/>
    </row>
    <row r="44" spans="1:4" ht="14.25" customHeight="1" x14ac:dyDescent="0.2">
      <c r="A44" s="369" t="s">
        <v>423</v>
      </c>
      <c r="B44" s="370"/>
      <c r="C44" s="371">
        <f>SUM(C38:C43)</f>
        <v>697.57056</v>
      </c>
      <c r="D44" s="372">
        <f>SUM(D38:D43)</f>
        <v>608.9550036363637</v>
      </c>
    </row>
    <row r="45" spans="1:4" ht="14.25" customHeight="1" x14ac:dyDescent="0.2">
      <c r="A45" s="359" t="s">
        <v>446</v>
      </c>
      <c r="B45" s="360" t="s">
        <v>415</v>
      </c>
      <c r="C45" s="360" t="s">
        <v>416</v>
      </c>
      <c r="D45" s="361" t="s">
        <v>416</v>
      </c>
    </row>
    <row r="46" spans="1:4" ht="14.25" customHeight="1" x14ac:dyDescent="0.2">
      <c r="A46" s="379" t="s">
        <v>425</v>
      </c>
      <c r="B46" s="388">
        <f>B25</f>
        <v>0.1111111111111111</v>
      </c>
      <c r="C46" s="389">
        <f>C25</f>
        <v>192.108</v>
      </c>
      <c r="D46" s="390">
        <f>D25</f>
        <v>157.18563636363635</v>
      </c>
    </row>
    <row r="47" spans="1:4" ht="14.25" customHeight="1" x14ac:dyDescent="0.2">
      <c r="A47" s="379" t="s">
        <v>447</v>
      </c>
      <c r="B47" s="388">
        <f>B36</f>
        <v>0.36800000000000005</v>
      </c>
      <c r="C47" s="389">
        <f>C36</f>
        <v>706.97</v>
      </c>
      <c r="D47" s="390">
        <f>D36</f>
        <v>578.44000000000005</v>
      </c>
    </row>
    <row r="48" spans="1:4" ht="14.25" customHeight="1" x14ac:dyDescent="0.2">
      <c r="A48" s="379" t="s">
        <v>438</v>
      </c>
      <c r="B48" s="388"/>
      <c r="C48" s="389">
        <f>C44</f>
        <v>697.57056</v>
      </c>
      <c r="D48" s="390">
        <f>D44</f>
        <v>608.9550036363637</v>
      </c>
    </row>
    <row r="49" spans="1:4" ht="14.25" customHeight="1" x14ac:dyDescent="0.2">
      <c r="A49" s="369" t="s">
        <v>423</v>
      </c>
      <c r="B49" s="370"/>
      <c r="C49" s="371">
        <f>SUM(C46:C48)</f>
        <v>1596.6485600000001</v>
      </c>
      <c r="D49" s="372">
        <f>SUM(D46:D48)</f>
        <v>1344.5806400000001</v>
      </c>
    </row>
    <row r="50" spans="1:4" ht="14.25" customHeight="1" x14ac:dyDescent="0.2">
      <c r="A50" s="881"/>
      <c r="B50" s="881"/>
      <c r="C50" s="374"/>
      <c r="D50" s="375"/>
    </row>
    <row r="51" spans="1:4" s="391" customFormat="1" ht="14.25" customHeight="1" x14ac:dyDescent="0.2">
      <c r="A51" s="919" t="s">
        <v>448</v>
      </c>
      <c r="B51" s="919"/>
      <c r="C51" s="919"/>
      <c r="D51" s="919"/>
    </row>
    <row r="52" spans="1:4" ht="14.25" customHeight="1" x14ac:dyDescent="0.2">
      <c r="A52" s="359" t="s">
        <v>449</v>
      </c>
      <c r="B52" s="360" t="s">
        <v>415</v>
      </c>
      <c r="C52" s="360" t="s">
        <v>416</v>
      </c>
      <c r="D52" s="361" t="s">
        <v>416</v>
      </c>
    </row>
    <row r="53" spans="1:4" ht="14.25" customHeight="1" x14ac:dyDescent="0.2">
      <c r="A53" s="376" t="s">
        <v>450</v>
      </c>
      <c r="B53" s="392"/>
      <c r="C53" s="392"/>
      <c r="D53" s="393"/>
    </row>
    <row r="54" spans="1:4" ht="14.25" customHeight="1" x14ac:dyDescent="0.2">
      <c r="A54" s="379" t="s">
        <v>451</v>
      </c>
      <c r="B54" s="388">
        <f>1/12*0.05</f>
        <v>4.1666666666666666E-3</v>
      </c>
      <c r="C54" s="394">
        <f>C19*$B54</f>
        <v>7.2041999999999993</v>
      </c>
      <c r="D54" s="497">
        <f>D19*$B54</f>
        <v>5.8943454545454541</v>
      </c>
    </row>
    <row r="55" spans="1:4" ht="14.25" customHeight="1" x14ac:dyDescent="0.2">
      <c r="A55" s="379" t="s">
        <v>452</v>
      </c>
      <c r="B55" s="388">
        <f>B35*B54</f>
        <v>3.3333333333333332E-4</v>
      </c>
      <c r="C55" s="394">
        <f>$B$55*C19</f>
        <v>0.57633599999999996</v>
      </c>
      <c r="D55" s="497">
        <f>$B$55*D19</f>
        <v>0.47154763636363628</v>
      </c>
    </row>
    <row r="56" spans="1:4" ht="14.25" customHeight="1" x14ac:dyDescent="0.2">
      <c r="A56" s="379" t="s">
        <v>453</v>
      </c>
      <c r="B56" s="388">
        <v>0</v>
      </c>
      <c r="C56" s="394">
        <f>C35*$B56</f>
        <v>0</v>
      </c>
      <c r="D56" s="497">
        <f>D35*$B56</f>
        <v>0</v>
      </c>
    </row>
    <row r="57" spans="1:4" ht="14.25" customHeight="1" x14ac:dyDescent="0.2">
      <c r="A57" s="379" t="s">
        <v>454</v>
      </c>
      <c r="B57" s="388">
        <f>1/12*1/30*7</f>
        <v>1.9444444444444441E-2</v>
      </c>
      <c r="C57" s="389">
        <f>C19*$B57</f>
        <v>33.619599999999991</v>
      </c>
      <c r="D57" s="390">
        <f>D19*$B57</f>
        <v>27.506945454545448</v>
      </c>
    </row>
    <row r="58" spans="1:4" ht="14.25" customHeight="1" x14ac:dyDescent="0.2">
      <c r="A58" s="379" t="s">
        <v>455</v>
      </c>
      <c r="B58" s="388">
        <f>B36*B57</f>
        <v>7.1555555555555556E-3</v>
      </c>
      <c r="C58" s="389">
        <f>$B58*C19</f>
        <v>12.372012799999998</v>
      </c>
      <c r="D58" s="390">
        <f>$B58*D19</f>
        <v>10.122555927272726</v>
      </c>
    </row>
    <row r="59" spans="1:4" ht="14.25" customHeight="1" x14ac:dyDescent="0.2">
      <c r="A59" s="379" t="s">
        <v>456</v>
      </c>
      <c r="B59" s="388">
        <f>B35*40/100*90/100*(1+1/12+1/12+1/3*1/12)</f>
        <v>3.4399999999999993E-2</v>
      </c>
      <c r="C59" s="389">
        <f>C19*$B59</f>
        <v>59.477875199999978</v>
      </c>
      <c r="D59" s="390">
        <f>D19*$B59</f>
        <v>48.663716072727254</v>
      </c>
    </row>
    <row r="60" spans="1:4" ht="14.25" customHeight="1" x14ac:dyDescent="0.2">
      <c r="A60" s="369" t="s">
        <v>423</v>
      </c>
      <c r="B60" s="380">
        <f>SUM(B54:B59)</f>
        <v>6.5499999999999989E-2</v>
      </c>
      <c r="C60" s="395">
        <f>SUM(C54:C59)</f>
        <v>113.25002399999997</v>
      </c>
      <c r="D60" s="396">
        <f>SUM(D54:D59)</f>
        <v>92.659110545454524</v>
      </c>
    </row>
    <row r="61" spans="1:4" ht="14.25" customHeight="1" x14ac:dyDescent="0.2">
      <c r="A61" s="881"/>
      <c r="B61" s="881"/>
      <c r="C61" s="397"/>
      <c r="D61" s="398"/>
    </row>
    <row r="62" spans="1:4" ht="14.25" customHeight="1" x14ac:dyDescent="0.2">
      <c r="A62" s="919" t="s">
        <v>457</v>
      </c>
      <c r="B62" s="919"/>
      <c r="C62" s="919"/>
      <c r="D62" s="919"/>
    </row>
    <row r="63" spans="1:4" ht="14.25" customHeight="1" x14ac:dyDescent="0.2">
      <c r="A63" s="376" t="s">
        <v>45</v>
      </c>
      <c r="B63" s="377"/>
      <c r="C63" s="377"/>
      <c r="D63" s="378"/>
    </row>
    <row r="64" spans="1:4" ht="14.25" customHeight="1" x14ac:dyDescent="0.2">
      <c r="A64" s="379" t="s">
        <v>46</v>
      </c>
      <c r="B64" s="367">
        <f>1/12</f>
        <v>8.3333333333333329E-2</v>
      </c>
      <c r="C64" s="383">
        <f>$B64*(C$19+(C$49-C$38-C$39)+C$60)</f>
        <v>239.4472153333333</v>
      </c>
      <c r="D64" s="383">
        <f t="shared" ref="D64" si="2">$B64*(D$19+(D$49-D$38-D$39)+D$60)</f>
        <v>196.07938830303027</v>
      </c>
    </row>
    <row r="65" spans="1:4" ht="14.25" customHeight="1" x14ac:dyDescent="0.2">
      <c r="A65" s="379" t="s">
        <v>458</v>
      </c>
      <c r="B65" s="367">
        <f>MC!E52/30/12</f>
        <v>1.3538888888888885E-2</v>
      </c>
      <c r="C65" s="383">
        <f t="shared" ref="C65:D67" si="3">$B65*(C$19+(C$49-C$38-C$39)+C$60)</f>
        <v>38.90219091782221</v>
      </c>
      <c r="D65" s="383">
        <f t="shared" si="3"/>
        <v>31.856364619632313</v>
      </c>
    </row>
    <row r="66" spans="1:4" ht="14.25" customHeight="1" x14ac:dyDescent="0.2">
      <c r="A66" s="379" t="s">
        <v>459</v>
      </c>
      <c r="B66" s="399">
        <f>(5/30)/12*MC!F54*MC!C55</f>
        <v>1.0764583333333333E-4</v>
      </c>
      <c r="C66" s="383">
        <f t="shared" si="3"/>
        <v>0.30930594040683329</v>
      </c>
      <c r="D66" s="383">
        <f t="shared" si="3"/>
        <v>0.25328554984043938</v>
      </c>
    </row>
    <row r="67" spans="1:4" ht="14.25" customHeight="1" x14ac:dyDescent="0.2">
      <c r="A67" s="379" t="s">
        <v>460</v>
      </c>
      <c r="B67" s="399">
        <f>MC!C57/30/12</f>
        <v>2.6830555555555553E-3</v>
      </c>
      <c r="C67" s="383">
        <f t="shared" si="3"/>
        <v>7.7094021763488874</v>
      </c>
      <c r="D67" s="383">
        <f t="shared" si="3"/>
        <v>6.3131027053965649</v>
      </c>
    </row>
    <row r="68" spans="1:4" ht="14.25" customHeight="1" x14ac:dyDescent="0.2">
      <c r="A68" s="379" t="s">
        <v>461</v>
      </c>
      <c r="B68" s="367"/>
      <c r="C68" s="383"/>
      <c r="D68" s="383"/>
    </row>
    <row r="69" spans="1:4" ht="14.25" customHeight="1" x14ac:dyDescent="0.2">
      <c r="A69" s="400" t="s">
        <v>462</v>
      </c>
      <c r="B69" s="401">
        <f>SUM(B64:B68)</f>
        <v>9.9662923611111107E-2</v>
      </c>
      <c r="C69" s="402">
        <f>SUM(C64:C68)</f>
        <v>286.36811436791123</v>
      </c>
      <c r="D69" s="403">
        <f>SUM(D64:D68)</f>
        <v>234.50214117789957</v>
      </c>
    </row>
    <row r="70" spans="1:4" ht="14.25" customHeight="1" x14ac:dyDescent="0.2">
      <c r="A70" s="376" t="s">
        <v>463</v>
      </c>
      <c r="B70" s="377"/>
      <c r="C70" s="377"/>
      <c r="D70" s="378"/>
    </row>
    <row r="71" spans="1:4" ht="14.25" customHeight="1" x14ac:dyDescent="0.2">
      <c r="A71" s="379" t="s">
        <v>464</v>
      </c>
      <c r="B71" s="367"/>
      <c r="C71" s="383"/>
      <c r="D71" s="384"/>
    </row>
    <row r="72" spans="1:4" ht="14.25" customHeight="1" x14ac:dyDescent="0.2">
      <c r="A72" s="400" t="s">
        <v>462</v>
      </c>
      <c r="B72" s="401"/>
      <c r="C72" s="402">
        <f>C71</f>
        <v>0</v>
      </c>
      <c r="D72" s="403"/>
    </row>
    <row r="73" spans="1:4" ht="14.25" customHeight="1" x14ac:dyDescent="0.2">
      <c r="A73" s="376" t="s">
        <v>67</v>
      </c>
      <c r="B73" s="377"/>
      <c r="C73" s="377"/>
      <c r="D73" s="378"/>
    </row>
    <row r="74" spans="1:4" ht="14.25" customHeight="1" x14ac:dyDescent="0.2">
      <c r="A74" s="379" t="s">
        <v>68</v>
      </c>
      <c r="B74" s="367">
        <f>120/30*MC!C60*MC!C61</f>
        <v>6.18624E-3</v>
      </c>
      <c r="C74" s="383">
        <f>(((C19*2)+ (C19*1/3))+(C36)+(C44-C38-C39))*$B$74</f>
        <v>30.147728540774395</v>
      </c>
      <c r="D74" s="384">
        <f>(((D19*2)+ (D19*1/3))+(D36)+(D44-D38-D39))*$B$74</f>
        <v>24.678757693942689</v>
      </c>
    </row>
    <row r="75" spans="1:4" ht="14.25" customHeight="1" x14ac:dyDescent="0.2">
      <c r="A75" s="400" t="s">
        <v>423</v>
      </c>
      <c r="B75" s="401"/>
      <c r="C75" s="402"/>
      <c r="D75" s="403"/>
    </row>
    <row r="76" spans="1:4" ht="14.25" customHeight="1" x14ac:dyDescent="0.2">
      <c r="A76" s="359" t="s">
        <v>465</v>
      </c>
      <c r="B76" s="360"/>
      <c r="C76" s="360"/>
      <c r="D76" s="361"/>
    </row>
    <row r="77" spans="1:4" ht="14.25" customHeight="1" x14ac:dyDescent="0.2">
      <c r="A77" s="379" t="s">
        <v>45</v>
      </c>
      <c r="B77" s="388">
        <f>B69</f>
        <v>9.9662923611111107E-2</v>
      </c>
      <c r="C77" s="389">
        <f>C69</f>
        <v>286.36811436791123</v>
      </c>
      <c r="D77" s="390">
        <f>D69</f>
        <v>234.50214117789957</v>
      </c>
    </row>
    <row r="78" spans="1:4" ht="14.25" customHeight="1" x14ac:dyDescent="0.2">
      <c r="A78" s="379" t="s">
        <v>463</v>
      </c>
      <c r="B78" s="388">
        <f>B72</f>
        <v>0</v>
      </c>
      <c r="C78" s="389">
        <f>C72</f>
        <v>0</v>
      </c>
      <c r="D78" s="390">
        <f>D72</f>
        <v>0</v>
      </c>
    </row>
    <row r="79" spans="1:4" ht="14.25" customHeight="1" x14ac:dyDescent="0.2">
      <c r="A79" s="379" t="s">
        <v>67</v>
      </c>
      <c r="B79" s="388">
        <f>B74</f>
        <v>6.18624E-3</v>
      </c>
      <c r="C79" s="389">
        <f>C74</f>
        <v>30.147728540774395</v>
      </c>
      <c r="D79" s="390">
        <f>D74</f>
        <v>24.678757693942689</v>
      </c>
    </row>
    <row r="80" spans="1:4" ht="14.25" customHeight="1" x14ac:dyDescent="0.2">
      <c r="A80" s="369" t="s">
        <v>423</v>
      </c>
      <c r="B80" s="370"/>
      <c r="C80" s="371">
        <f>SUM(C77:C79)</f>
        <v>316.51584290868561</v>
      </c>
      <c r="D80" s="372">
        <f>SUM(D77:D79)</f>
        <v>259.18089887184226</v>
      </c>
    </row>
    <row r="81" spans="1:4" ht="14.25" customHeight="1" x14ac:dyDescent="0.2">
      <c r="A81" s="373"/>
      <c r="B81" s="374"/>
      <c r="C81" s="374"/>
      <c r="D81" s="375"/>
    </row>
    <row r="82" spans="1:4" ht="14.25" customHeight="1" x14ac:dyDescent="0.2">
      <c r="A82" s="404" t="s">
        <v>466</v>
      </c>
      <c r="B82" s="405"/>
      <c r="C82" s="405"/>
      <c r="D82" s="406"/>
    </row>
    <row r="83" spans="1:4" ht="14.25" customHeight="1" x14ac:dyDescent="0.2">
      <c r="A83" s="359" t="s">
        <v>467</v>
      </c>
      <c r="B83" s="360" t="s">
        <v>439</v>
      </c>
      <c r="C83" s="360" t="s">
        <v>416</v>
      </c>
      <c r="D83" s="361" t="s">
        <v>416</v>
      </c>
    </row>
    <row r="84" spans="1:4" ht="14.25" customHeight="1" x14ac:dyDescent="0.2">
      <c r="A84" s="379" t="s">
        <v>468</v>
      </c>
      <c r="B84" s="498">
        <f>Insumos!F110</f>
        <v>33.474166666666669</v>
      </c>
      <c r="C84" s="364">
        <f>Insumos!F110</f>
        <v>33.474166666666669</v>
      </c>
      <c r="D84" s="366">
        <f>Insumos!F110</f>
        <v>33.474166666666669</v>
      </c>
    </row>
    <row r="85" spans="1:4" ht="14.25" customHeight="1" x14ac:dyDescent="0.2">
      <c r="A85" s="408" t="s">
        <v>469</v>
      </c>
      <c r="B85" s="498">
        <f>Insumos!E69</f>
        <v>268.73333333333335</v>
      </c>
      <c r="C85" s="364">
        <f>B85</f>
        <v>268.73333333333335</v>
      </c>
      <c r="D85" s="366">
        <f>B85</f>
        <v>268.73333333333335</v>
      </c>
    </row>
    <row r="86" spans="1:4" ht="14.25" customHeight="1" x14ac:dyDescent="0.2">
      <c r="A86" s="408" t="s">
        <v>470</v>
      </c>
      <c r="B86" s="499">
        <v>0</v>
      </c>
      <c r="C86" s="364"/>
      <c r="D86" s="366"/>
    </row>
    <row r="87" spans="1:4" ht="14.25" customHeight="1" x14ac:dyDescent="0.2">
      <c r="A87" s="408" t="s">
        <v>471</v>
      </c>
      <c r="B87" s="500">
        <f>Insumos!G114</f>
        <v>213.35999999999999</v>
      </c>
      <c r="C87" s="364">
        <f>B87</f>
        <v>213.35999999999999</v>
      </c>
      <c r="D87" s="366">
        <f>Insumos!F114</f>
        <v>191.57999999999998</v>
      </c>
    </row>
    <row r="88" spans="1:4" ht="14.25" customHeight="1" x14ac:dyDescent="0.2">
      <c r="A88" s="408" t="s">
        <v>472</v>
      </c>
      <c r="B88" s="501">
        <v>0</v>
      </c>
      <c r="C88" s="364"/>
      <c r="D88" s="366"/>
    </row>
    <row r="89" spans="1:4" ht="14.25" customHeight="1" x14ac:dyDescent="0.2">
      <c r="A89" s="686" t="s">
        <v>473</v>
      </c>
      <c r="B89" s="498">
        <v>0</v>
      </c>
      <c r="C89" s="364"/>
      <c r="D89" s="366"/>
    </row>
    <row r="90" spans="1:4" ht="14.25" customHeight="1" x14ac:dyDescent="0.2">
      <c r="A90" s="686" t="s">
        <v>474</v>
      </c>
      <c r="B90" s="498">
        <v>0</v>
      </c>
      <c r="C90" s="364"/>
      <c r="D90" s="366"/>
    </row>
    <row r="91" spans="1:4" ht="14.25" customHeight="1" x14ac:dyDescent="0.2">
      <c r="A91" s="400" t="s">
        <v>423</v>
      </c>
      <c r="B91" s="410"/>
      <c r="C91" s="402">
        <f>SUM(C84:C90)</f>
        <v>515.5675</v>
      </c>
      <c r="D91" s="403">
        <f>SUM(D84:D90)</f>
        <v>493.78750000000002</v>
      </c>
    </row>
    <row r="92" spans="1:4" ht="14.25" customHeight="1" x14ac:dyDescent="0.2">
      <c r="A92" s="881"/>
      <c r="B92" s="881"/>
      <c r="C92" s="411"/>
      <c r="D92" s="412"/>
    </row>
    <row r="93" spans="1:4" ht="14.25" customHeight="1" x14ac:dyDescent="0.2">
      <c r="A93" s="404" t="s">
        <v>475</v>
      </c>
      <c r="B93" s="405"/>
      <c r="C93" s="405"/>
      <c r="D93" s="406"/>
    </row>
    <row r="94" spans="1:4" ht="14.25" customHeight="1" x14ac:dyDescent="0.2">
      <c r="A94" s="359" t="s">
        <v>476</v>
      </c>
      <c r="B94" s="360" t="s">
        <v>415</v>
      </c>
      <c r="C94" s="360" t="s">
        <v>416</v>
      </c>
      <c r="D94" s="361" t="s">
        <v>416</v>
      </c>
    </row>
    <row r="95" spans="1:4" ht="14.25" customHeight="1" x14ac:dyDescent="0.2">
      <c r="A95" s="362" t="s">
        <v>73</v>
      </c>
      <c r="B95" s="367">
        <f>MC!C64</f>
        <v>0.06</v>
      </c>
      <c r="C95" s="383">
        <f>($C$19+$C$49+$C$60+$C$80+$C$91)*$B$95</f>
        <v>256.25939561452111</v>
      </c>
      <c r="D95" s="384">
        <f>($D$19+$D$49+$D$60+$D$80+$D$91)*$B$95</f>
        <v>216.29106351049231</v>
      </c>
    </row>
    <row r="96" spans="1:4" ht="14.25" customHeight="1" x14ac:dyDescent="0.2">
      <c r="A96" s="362" t="s">
        <v>74</v>
      </c>
      <c r="B96" s="367">
        <v>6.7900000000000002E-2</v>
      </c>
      <c r="C96" s="383">
        <f>($C$19+$C$49+$C$60+$C$80+$C$91+C95)*B96</f>
        <v>307.40022899932575</v>
      </c>
      <c r="D96" s="384">
        <f>($D$19+$D$49+$D$60+$D$80+$D$91+$D$95)*$B$96</f>
        <v>259.45555008506955</v>
      </c>
    </row>
    <row r="97" spans="1:5" ht="14.25" customHeight="1" x14ac:dyDescent="0.2">
      <c r="A97" s="413" t="s">
        <v>477</v>
      </c>
      <c r="B97" s="414">
        <f>B98+B99</f>
        <v>0.1125</v>
      </c>
      <c r="C97" s="415">
        <f>((C19+C49+C60+C80+C91+C95+C96)/(1-($B$97)))*$B$97</f>
        <v>612.84290089722242</v>
      </c>
      <c r="D97" s="502">
        <f>((D19+D49+D60+D80+D91+D95+D96)/(1-($B$97)))*$B$97</f>
        <v>517.25885984413947</v>
      </c>
    </row>
    <row r="98" spans="1:5" ht="14.25" customHeight="1" x14ac:dyDescent="0.2">
      <c r="A98" s="362" t="s">
        <v>478</v>
      </c>
      <c r="B98" s="367">
        <f>0.0165+0.076</f>
        <v>9.2499999999999999E-2</v>
      </c>
      <c r="C98" s="416">
        <f>((C$19+C$49+C$60+C$80+C$91+C$95+C$96)/(1-($B$97)))*$B$98</f>
        <v>503.89305184882733</v>
      </c>
      <c r="D98" s="503">
        <f>((D$19+D$49+D$60+D$80+D$91+D$95+D$96)/(1-($B$97)))*$B$98</f>
        <v>425.30172920518135</v>
      </c>
    </row>
    <row r="99" spans="1:5" ht="14.25" customHeight="1" x14ac:dyDescent="0.2">
      <c r="A99" s="362" t="s">
        <v>479</v>
      </c>
      <c r="B99" s="367">
        <v>0.02</v>
      </c>
      <c r="C99" s="417">
        <f>((C$19+C$49+C$60+C$80+C$91+C$95+C$96)/(1-($B$97)))*$B$99</f>
        <v>108.94984904839509</v>
      </c>
      <c r="D99" s="504">
        <f>((D$19+D$49+D$60+D$80+D$91+D$95+D$96)/(1-($B$97)))*$B$99</f>
        <v>91.957130638958134</v>
      </c>
    </row>
    <row r="100" spans="1:5" ht="14.25" customHeight="1" x14ac:dyDescent="0.2">
      <c r="A100" s="413" t="s">
        <v>480</v>
      </c>
      <c r="B100" s="414">
        <f>B101+B102</f>
        <v>0.1225</v>
      </c>
      <c r="C100" s="415">
        <f>((C19+C49+C60+C80+C91+C95+C96)/(1-($B$100)))*$B$100</f>
        <v>674.922586964684</v>
      </c>
      <c r="D100" s="502">
        <f>((D19+D49+D60+D80+D91+D95+D96)/(1-($B$100)))*$B$100</f>
        <v>569.65608527944323</v>
      </c>
    </row>
    <row r="101" spans="1:5" ht="14.25" customHeight="1" x14ac:dyDescent="0.2">
      <c r="A101" s="362" t="s">
        <v>478</v>
      </c>
      <c r="B101" s="367">
        <f>0.0165+0.076</f>
        <v>9.2499999999999999E-2</v>
      </c>
      <c r="C101" s="416">
        <f>((C19+C49+C60+C80+C91+C95+C96)/(1-($B$100)))*$B$101</f>
        <v>509.63542281006755</v>
      </c>
      <c r="D101" s="503">
        <f>((D19+D49+D60+D80+D91+D95+D96)/(1-($B$100)))*$B$101</f>
        <v>430.14847255794695</v>
      </c>
    </row>
    <row r="102" spans="1:5" ht="14.25" customHeight="1" x14ac:dyDescent="0.2">
      <c r="A102" s="362" t="s">
        <v>479</v>
      </c>
      <c r="B102" s="367">
        <v>0.03</v>
      </c>
      <c r="C102" s="417">
        <f>((C19+C49+C60+C80+C91+C95+C96)/(1-($B$100)))*$B$102</f>
        <v>165.28716415461651</v>
      </c>
      <c r="D102" s="504">
        <f>((D19+D49+D60+D80+D91+D95+D96)/(1-($B$100)))*$B$102</f>
        <v>139.50761272149632</v>
      </c>
      <c r="E102" s="418"/>
    </row>
    <row r="103" spans="1:5" ht="14.25" customHeight="1" x14ac:dyDescent="0.2">
      <c r="A103" s="413" t="s">
        <v>481</v>
      </c>
      <c r="B103" s="414">
        <f>B104+B105</f>
        <v>0.13250000000000001</v>
      </c>
      <c r="C103" s="415">
        <f>((C19+C49+C60+C80+C91+C95+C96)/(1-($B$103)))*$B$103</f>
        <v>738.4335049875915</v>
      </c>
      <c r="D103" s="502">
        <f>((D19+D49+D60+D80+D91+D95+D96)/(1-($B$103)))*$B$103</f>
        <v>623.26131591210287</v>
      </c>
    </row>
    <row r="104" spans="1:5" ht="14.25" customHeight="1" x14ac:dyDescent="0.2">
      <c r="A104" s="362" t="s">
        <v>478</v>
      </c>
      <c r="B104" s="367">
        <f>0.0165+0.076</f>
        <v>9.2499999999999999E-2</v>
      </c>
      <c r="C104" s="416">
        <f>((C19+C49+C60+C80+C91+C95+C96)/(1-($B$103)))*$B$104</f>
        <v>515.51018272718647</v>
      </c>
      <c r="D104" s="503">
        <f>((D19+D49+D60+D80+D91+D95+D96)/(1-($B$103)))*$B$104</f>
        <v>435.10695639146803</v>
      </c>
    </row>
    <row r="105" spans="1:5" ht="14.25" customHeight="1" x14ac:dyDescent="0.2">
      <c r="A105" s="362" t="s">
        <v>479</v>
      </c>
      <c r="B105" s="367">
        <v>0.04</v>
      </c>
      <c r="C105" s="417">
        <f>((C19+C49+C60+C80+C91+C95+C96)/(1-($B$103)))*$B$105</f>
        <v>222.92332226040497</v>
      </c>
      <c r="D105" s="504">
        <f>((D19+D49+D60+D80+D91+D95+D96)/(1-($B$103)))*$B$105</f>
        <v>188.15435952063484</v>
      </c>
    </row>
    <row r="106" spans="1:5" ht="14.25" customHeight="1" x14ac:dyDescent="0.2">
      <c r="A106" s="413" t="s">
        <v>482</v>
      </c>
      <c r="B106" s="414">
        <f>B107+B108</f>
        <v>0.14250000000000002</v>
      </c>
      <c r="C106" s="415">
        <f>((C19+C49+C60+C80+C91+C95+C96)/(1-($B$106)))*$B$106</f>
        <v>803.42572722094576</v>
      </c>
      <c r="D106" s="502">
        <f>((D19+D49+D60+D80+D91+D95+D96)/(1-($B$106)))*$B$106</f>
        <v>678.11681431462046</v>
      </c>
    </row>
    <row r="107" spans="1:5" ht="14.25" customHeight="1" x14ac:dyDescent="0.2">
      <c r="A107" s="362" t="s">
        <v>478</v>
      </c>
      <c r="B107" s="367">
        <f>0.0165+0.076</f>
        <v>9.2499999999999999E-2</v>
      </c>
      <c r="C107" s="416">
        <f>((C19+C49+C60+C80+C91+C95+C96)/(1-($B$106)))*$B$107</f>
        <v>521.52196328377181</v>
      </c>
      <c r="D107" s="503">
        <f>((D19+D49+D60+D80+D91+D95+D96)/(1-($B$106)))*$B$107</f>
        <v>440.18108999370094</v>
      </c>
    </row>
    <row r="108" spans="1:5" ht="14.25" customHeight="1" x14ac:dyDescent="0.2">
      <c r="A108" s="362" t="s">
        <v>479</v>
      </c>
      <c r="B108" s="419">
        <v>0.05</v>
      </c>
      <c r="C108" s="417">
        <f>((C19+C49+C60+C80+C91+C95+C96)/(1-($B$106)))*$B$108</f>
        <v>281.90376393717395</v>
      </c>
      <c r="D108" s="504">
        <f>((D19+D49+D60+D80+D91+D95+D96)/(1-($B$106)))*$B$108</f>
        <v>237.93572432091943</v>
      </c>
    </row>
    <row r="109" spans="1:5" ht="14.25" customHeight="1" x14ac:dyDescent="0.2">
      <c r="A109" s="920" t="s">
        <v>483</v>
      </c>
      <c r="B109" s="420">
        <v>0.02</v>
      </c>
      <c r="C109" s="421">
        <f>C95+C96+C97</f>
        <v>1176.5025255110693</v>
      </c>
      <c r="D109" s="505">
        <f>D95+D96+D97</f>
        <v>993.00547343970129</v>
      </c>
    </row>
    <row r="110" spans="1:5" ht="14.25" customHeight="1" x14ac:dyDescent="0.2">
      <c r="A110" s="920"/>
      <c r="B110" s="422">
        <v>0.03</v>
      </c>
      <c r="C110" s="423">
        <f>C95+C96+C100</f>
        <v>1238.5822115785309</v>
      </c>
      <c r="D110" s="506">
        <f>D95+D96+D100</f>
        <v>1045.4026988750052</v>
      </c>
      <c r="E110" s="418"/>
    </row>
    <row r="111" spans="1:5" ht="14.25" customHeight="1" x14ac:dyDescent="0.2">
      <c r="A111" s="920"/>
      <c r="B111" s="422">
        <v>0.04</v>
      </c>
      <c r="C111" s="423">
        <f>C95+C96+C103</f>
        <v>1302.0931296014382</v>
      </c>
      <c r="D111" s="506">
        <f>D95+D96+D103</f>
        <v>1099.0079295076648</v>
      </c>
    </row>
    <row r="112" spans="1:5" ht="14.25" customHeight="1" x14ac:dyDescent="0.2">
      <c r="A112" s="920"/>
      <c r="B112" s="424">
        <v>0.05</v>
      </c>
      <c r="C112" s="425">
        <f>C95+C96+C106</f>
        <v>1367.0853518347926</v>
      </c>
      <c r="D112" s="507">
        <f>D95+D96+D106</f>
        <v>1153.8634279101823</v>
      </c>
    </row>
    <row r="113" spans="1:4" ht="14.25" customHeight="1" x14ac:dyDescent="0.2">
      <c r="A113" s="362" t="s">
        <v>484</v>
      </c>
      <c r="B113" s="426"/>
      <c r="C113" s="427"/>
      <c r="D113" s="428"/>
    </row>
    <row r="114" spans="1:4" ht="14.25" customHeight="1" x14ac:dyDescent="0.2">
      <c r="A114" s="429"/>
      <c r="B114" s="430"/>
      <c r="C114" s="431"/>
      <c r="D114" s="432"/>
    </row>
    <row r="115" spans="1:4" ht="7.5" customHeight="1" x14ac:dyDescent="0.2">
      <c r="A115" s="921"/>
      <c r="B115" s="921"/>
      <c r="C115" s="921"/>
      <c r="D115" s="921"/>
    </row>
    <row r="116" spans="1:4" ht="7.5" customHeight="1" x14ac:dyDescent="0.2">
      <c r="A116" s="922"/>
      <c r="B116" s="922"/>
      <c r="C116" s="922"/>
      <c r="D116" s="922"/>
    </row>
    <row r="117" spans="1:4" ht="54.75" customHeight="1" x14ac:dyDescent="0.2">
      <c r="A117" s="877" t="s">
        <v>485</v>
      </c>
      <c r="B117" s="877"/>
      <c r="C117" s="433" t="str">
        <f>C10</f>
        <v>Servente 44h COVID</v>
      </c>
      <c r="D117" s="434" t="str">
        <f>D10</f>
        <v>Servente 30h COVID</v>
      </c>
    </row>
    <row r="118" spans="1:4" ht="15.75" customHeight="1" x14ac:dyDescent="0.2">
      <c r="A118" s="900" t="s">
        <v>486</v>
      </c>
      <c r="B118" s="900"/>
      <c r="C118" s="435" t="s">
        <v>416</v>
      </c>
      <c r="D118" s="436" t="s">
        <v>416</v>
      </c>
    </row>
    <row r="119" spans="1:4" ht="14.25" customHeight="1" x14ac:dyDescent="0.2">
      <c r="A119" s="902" t="s">
        <v>487</v>
      </c>
      <c r="B119" s="902"/>
      <c r="C119" s="437">
        <f>C19</f>
        <v>1729.0079999999998</v>
      </c>
      <c r="D119" s="438">
        <f>D19</f>
        <v>1414.6429090909089</v>
      </c>
    </row>
    <row r="120" spans="1:4" ht="14.25" customHeight="1" x14ac:dyDescent="0.2">
      <c r="A120" s="904" t="s">
        <v>488</v>
      </c>
      <c r="B120" s="904"/>
      <c r="C120" s="439">
        <f>C49</f>
        <v>1596.6485600000001</v>
      </c>
      <c r="D120" s="440">
        <f>D49</f>
        <v>1344.5806400000001</v>
      </c>
    </row>
    <row r="121" spans="1:4" ht="14.25" customHeight="1" x14ac:dyDescent="0.2">
      <c r="A121" s="904" t="s">
        <v>489</v>
      </c>
      <c r="B121" s="904"/>
      <c r="C121" s="439">
        <f>C60</f>
        <v>113.25002399999997</v>
      </c>
      <c r="D121" s="440">
        <f>D60</f>
        <v>92.659110545454524</v>
      </c>
    </row>
    <row r="122" spans="1:4" ht="14.25" customHeight="1" x14ac:dyDescent="0.2">
      <c r="A122" s="904" t="s">
        <v>490</v>
      </c>
      <c r="B122" s="904"/>
      <c r="C122" s="439">
        <f>C80</f>
        <v>316.51584290868561</v>
      </c>
      <c r="D122" s="440">
        <f>D80</f>
        <v>259.18089887184226</v>
      </c>
    </row>
    <row r="123" spans="1:4" ht="15.75" customHeight="1" x14ac:dyDescent="0.2">
      <c r="A123" s="904" t="s">
        <v>491</v>
      </c>
      <c r="B123" s="904"/>
      <c r="C123" s="439">
        <f>C91</f>
        <v>515.5675</v>
      </c>
      <c r="D123" s="440">
        <f>D91</f>
        <v>493.78750000000002</v>
      </c>
    </row>
    <row r="124" spans="1:4" ht="15.75" customHeight="1" x14ac:dyDescent="0.2">
      <c r="A124" s="909" t="s">
        <v>492</v>
      </c>
      <c r="B124" s="909"/>
      <c r="C124" s="441">
        <f>SUM(C119:C123)</f>
        <v>4270.9899269086854</v>
      </c>
      <c r="D124" s="442">
        <f>SUM(D119:D123)</f>
        <v>3604.8510585082054</v>
      </c>
    </row>
    <row r="125" spans="1:4" ht="15.75" customHeight="1" x14ac:dyDescent="0.2">
      <c r="A125" s="906" t="s">
        <v>493</v>
      </c>
      <c r="B125" s="906"/>
      <c r="C125" s="443">
        <f t="shared" ref="C125:D125" si="4">C109</f>
        <v>1176.5025255110693</v>
      </c>
      <c r="D125" s="444">
        <f t="shared" si="4"/>
        <v>993.00547343970129</v>
      </c>
    </row>
    <row r="126" spans="1:4" ht="15.75" customHeight="1" x14ac:dyDescent="0.2">
      <c r="A126" s="904" t="s">
        <v>494</v>
      </c>
      <c r="B126" s="904"/>
      <c r="C126" s="445">
        <f t="shared" ref="C126:D128" si="5">C110</f>
        <v>1238.5822115785309</v>
      </c>
      <c r="D126" s="446">
        <f t="shared" si="5"/>
        <v>1045.4026988750052</v>
      </c>
    </row>
    <row r="127" spans="1:4" ht="15.75" customHeight="1" x14ac:dyDescent="0.2">
      <c r="A127" s="904" t="s">
        <v>495</v>
      </c>
      <c r="B127" s="904"/>
      <c r="C127" s="445">
        <f t="shared" si="5"/>
        <v>1302.0931296014382</v>
      </c>
      <c r="D127" s="446">
        <f t="shared" si="5"/>
        <v>1099.0079295076648</v>
      </c>
    </row>
    <row r="128" spans="1:4" ht="15.75" customHeight="1" x14ac:dyDescent="0.2">
      <c r="A128" s="906" t="s">
        <v>496</v>
      </c>
      <c r="B128" s="906"/>
      <c r="C128" s="445">
        <f t="shared" si="5"/>
        <v>1367.0853518347926</v>
      </c>
      <c r="D128" s="446">
        <f t="shared" si="5"/>
        <v>1153.8634279101823</v>
      </c>
    </row>
    <row r="129" spans="1:4" ht="15.75" customHeight="1" x14ac:dyDescent="0.2">
      <c r="A129" s="447" t="s">
        <v>497</v>
      </c>
      <c r="B129" s="448"/>
      <c r="C129" s="449">
        <f>C124+C125</f>
        <v>5447.492452419755</v>
      </c>
      <c r="D129" s="450">
        <f>D124+D125</f>
        <v>4597.8565319479067</v>
      </c>
    </row>
    <row r="130" spans="1:4" ht="15.75" customHeight="1" x14ac:dyDescent="0.2">
      <c r="A130" s="451" t="s">
        <v>498</v>
      </c>
      <c r="B130" s="452"/>
      <c r="C130" s="453">
        <f>C124+C126</f>
        <v>5509.5721384872159</v>
      </c>
      <c r="D130" s="454">
        <f>D124+D126</f>
        <v>4650.2537573832105</v>
      </c>
    </row>
    <row r="131" spans="1:4" ht="15.75" customHeight="1" x14ac:dyDescent="0.2">
      <c r="A131" s="451" t="s">
        <v>499</v>
      </c>
      <c r="B131" s="452"/>
      <c r="C131" s="453">
        <f>C124+C127</f>
        <v>5573.0830565101242</v>
      </c>
      <c r="D131" s="454">
        <f>D124+D127</f>
        <v>4703.8589880158706</v>
      </c>
    </row>
    <row r="132" spans="1:4" ht="15.75" customHeight="1" x14ac:dyDescent="0.2">
      <c r="A132" s="451" t="s">
        <v>500</v>
      </c>
      <c r="B132" s="452"/>
      <c r="C132" s="453">
        <f>C124+C128</f>
        <v>5638.0752787434776</v>
      </c>
      <c r="D132" s="454">
        <f>D124+D128</f>
        <v>4758.7144864183874</v>
      </c>
    </row>
    <row r="133" spans="1:4" ht="15.75" customHeight="1" x14ac:dyDescent="0.2">
      <c r="A133" s="455" t="s">
        <v>501</v>
      </c>
      <c r="B133" s="456"/>
      <c r="C133" s="457">
        <f>C129/220</f>
        <v>24.761329329180704</v>
      </c>
      <c r="D133" s="508"/>
    </row>
    <row r="134" spans="1:4" ht="15.75" customHeight="1" x14ac:dyDescent="0.2">
      <c r="A134" s="458" t="s">
        <v>502</v>
      </c>
      <c r="B134" s="459"/>
      <c r="C134" s="460">
        <f>C130/220</f>
        <v>25.043509720396436</v>
      </c>
      <c r="D134" s="509"/>
    </row>
    <row r="135" spans="1:4" ht="15.75" customHeight="1" x14ac:dyDescent="0.2">
      <c r="A135" s="458" t="s">
        <v>503</v>
      </c>
      <c r="B135" s="459"/>
      <c r="C135" s="460">
        <f>C131/220</f>
        <v>25.332195711409657</v>
      </c>
      <c r="D135" s="509"/>
    </row>
    <row r="136" spans="1:4" ht="15.75" customHeight="1" x14ac:dyDescent="0.2">
      <c r="A136" s="461" t="s">
        <v>504</v>
      </c>
      <c r="B136" s="462"/>
      <c r="C136" s="463">
        <f>C132/220</f>
        <v>25.627614903379445</v>
      </c>
      <c r="D136" s="510"/>
    </row>
    <row r="137" spans="1:4" x14ac:dyDescent="0.2">
      <c r="A137" s="464"/>
    </row>
  </sheetData>
  <mergeCells count="27">
    <mergeCell ref="A127:B127"/>
    <mergeCell ref="A128:B128"/>
    <mergeCell ref="A123:B123"/>
    <mergeCell ref="A124:B124"/>
    <mergeCell ref="A125:B125"/>
    <mergeCell ref="A126:B126"/>
    <mergeCell ref="A118:B118"/>
    <mergeCell ref="A119:B119"/>
    <mergeCell ref="A120:B120"/>
    <mergeCell ref="A121:B121"/>
    <mergeCell ref="A122:B122"/>
    <mergeCell ref="A92:B92"/>
    <mergeCell ref="A109:A112"/>
    <mergeCell ref="A115:D115"/>
    <mergeCell ref="A116:D116"/>
    <mergeCell ref="A117:B117"/>
    <mergeCell ref="A21:D21"/>
    <mergeCell ref="A50:B50"/>
    <mergeCell ref="A51:D51"/>
    <mergeCell ref="A61:B61"/>
    <mergeCell ref="A62:D62"/>
    <mergeCell ref="A1:D1"/>
    <mergeCell ref="A2:D2"/>
    <mergeCell ref="A3:D3"/>
    <mergeCell ref="A9:D9"/>
    <mergeCell ref="A20:B20"/>
    <mergeCell ref="A11:D1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G155"/>
  <sheetViews>
    <sheetView zoomScale="80" zoomScaleNormal="80" workbookViewId="0">
      <pane ySplit="10" topLeftCell="A11" activePane="bottomLeft" state="frozen"/>
      <selection pane="bottomLeft" activeCell="A14" sqref="A14"/>
    </sheetView>
  </sheetViews>
  <sheetFormatPr defaultRowHeight="14.25" x14ac:dyDescent="0.2"/>
  <cols>
    <col min="1" max="1" width="53.75" style="332" customWidth="1"/>
    <col min="2" max="2" width="10" style="332" customWidth="1"/>
    <col min="3" max="3" width="14.875" style="332" customWidth="1"/>
    <col min="4" max="4" width="15.75" style="332" customWidth="1"/>
    <col min="5" max="5" width="16.75" style="332" customWidth="1"/>
    <col min="6" max="6" width="14.875" style="332" customWidth="1"/>
    <col min="7" max="1021" width="9" style="332" customWidth="1"/>
    <col min="1022" max="1025" width="8.375" customWidth="1"/>
  </cols>
  <sheetData>
    <row r="1" spans="1:1021" ht="15.75" x14ac:dyDescent="0.2">
      <c r="A1" s="869" t="s">
        <v>399</v>
      </c>
      <c r="B1" s="870"/>
      <c r="C1" s="870"/>
      <c r="D1" s="870"/>
      <c r="E1" s="870"/>
      <c r="F1" s="871"/>
      <c r="AMG1"/>
    </row>
    <row r="2" spans="1:1021" ht="15.75" x14ac:dyDescent="0.2">
      <c r="A2" s="872" t="s">
        <v>400</v>
      </c>
      <c r="B2" s="873"/>
      <c r="C2" s="873"/>
      <c r="D2" s="873"/>
      <c r="E2" s="873"/>
      <c r="F2" s="874"/>
      <c r="AMG2"/>
    </row>
    <row r="3" spans="1:1021" ht="15.75" customHeight="1" x14ac:dyDescent="0.2">
      <c r="A3" s="872" t="str">
        <f ca="1">'GEXCHA Limp.Ord. '!A3</f>
        <v>PROCESSO 35014.173954/2023-61</v>
      </c>
      <c r="B3" s="873"/>
      <c r="C3" s="873"/>
      <c r="D3" s="873"/>
      <c r="E3" s="873"/>
      <c r="F3" s="874"/>
      <c r="AMG3"/>
    </row>
    <row r="4" spans="1:1021" ht="24" x14ac:dyDescent="0.2">
      <c r="A4" s="645"/>
      <c r="B4" s="340"/>
      <c r="C4" s="341" t="s">
        <v>401</v>
      </c>
      <c r="D4" s="342" t="s">
        <v>402</v>
      </c>
      <c r="E4" s="666" t="s">
        <v>403</v>
      </c>
      <c r="F4" s="666" t="s">
        <v>539</v>
      </c>
      <c r="AMG4"/>
    </row>
    <row r="5" spans="1:1021" x14ac:dyDescent="0.2">
      <c r="A5" s="646"/>
      <c r="B5" s="345" t="s">
        <v>405</v>
      </c>
      <c r="C5" s="346">
        <f>MC!G12</f>
        <v>1401.16</v>
      </c>
      <c r="D5" s="347">
        <f>MC!I12</f>
        <v>1146.4036363636365</v>
      </c>
      <c r="E5" s="647">
        <f>MC!G12</f>
        <v>1401.16</v>
      </c>
      <c r="F5" s="647">
        <f>MC!G13</f>
        <v>1916.35</v>
      </c>
      <c r="AMG5"/>
    </row>
    <row r="6" spans="1:1021" x14ac:dyDescent="0.2">
      <c r="A6" s="646"/>
      <c r="B6" s="345" t="s">
        <v>406</v>
      </c>
      <c r="C6" s="349" t="str">
        <f>MC!I8</f>
        <v>5143-20</v>
      </c>
      <c r="D6" s="350" t="str">
        <f>C6</f>
        <v>5143-20</v>
      </c>
      <c r="E6" s="648" t="str">
        <f>C6</f>
        <v>5143-20</v>
      </c>
      <c r="F6" s="648" t="str">
        <f>D6</f>
        <v>5143-20</v>
      </c>
      <c r="AMG6"/>
    </row>
    <row r="7" spans="1:1021" x14ac:dyDescent="0.2">
      <c r="A7" s="646"/>
      <c r="B7" s="345" t="s">
        <v>407</v>
      </c>
      <c r="C7" s="352" t="str">
        <f>MC!G8</f>
        <v xml:space="preserve"> SC000078/2023</v>
      </c>
      <c r="D7" s="353" t="str">
        <f>C7</f>
        <v xml:space="preserve"> SC000078/2023</v>
      </c>
      <c r="E7" s="649" t="str">
        <f>C7</f>
        <v xml:space="preserve"> SC000078/2023</v>
      </c>
      <c r="F7" s="649" t="str">
        <f>D7</f>
        <v xml:space="preserve"> SC000078/2023</v>
      </c>
      <c r="AMG7"/>
    </row>
    <row r="8" spans="1:1021" x14ac:dyDescent="0.2">
      <c r="A8" s="650"/>
      <c r="B8" s="651" t="s">
        <v>408</v>
      </c>
      <c r="C8" s="652" t="s">
        <v>11</v>
      </c>
      <c r="D8" s="653" t="s">
        <v>11</v>
      </c>
      <c r="E8" s="654" t="s">
        <v>11</v>
      </c>
      <c r="F8" s="654" t="s">
        <v>11</v>
      </c>
      <c r="AMG8"/>
    </row>
    <row r="9" spans="1:1021" x14ac:dyDescent="0.2">
      <c r="A9" s="646"/>
      <c r="B9" s="476"/>
      <c r="C9" s="476"/>
      <c r="D9" s="476"/>
      <c r="E9" s="476"/>
      <c r="F9" s="767"/>
      <c r="AMG9"/>
    </row>
    <row r="10" spans="1:1021" ht="66.75" customHeight="1" x14ac:dyDescent="0.2">
      <c r="A10" s="752" t="s">
        <v>409</v>
      </c>
      <c r="B10" s="753" t="s">
        <v>410</v>
      </c>
      <c r="C10" s="754" t="s">
        <v>411</v>
      </c>
      <c r="D10" s="754" t="s">
        <v>402</v>
      </c>
      <c r="E10" s="755" t="s">
        <v>403</v>
      </c>
      <c r="F10" s="755" t="s">
        <v>412</v>
      </c>
      <c r="AMG10"/>
    </row>
    <row r="11" spans="1:1021" ht="15.75" customHeight="1" x14ac:dyDescent="0.2">
      <c r="A11" s="896" t="s">
        <v>413</v>
      </c>
      <c r="B11" s="897"/>
      <c r="C11" s="897"/>
      <c r="D11" s="897"/>
      <c r="E11" s="897"/>
      <c r="F11" s="898"/>
      <c r="AMG11"/>
    </row>
    <row r="12" spans="1:1021" ht="15.75" customHeight="1" x14ac:dyDescent="0.2">
      <c r="A12" s="667" t="s">
        <v>414</v>
      </c>
      <c r="B12" s="612" t="s">
        <v>415</v>
      </c>
      <c r="C12" s="612" t="s">
        <v>416</v>
      </c>
      <c r="D12" s="612" t="s">
        <v>416</v>
      </c>
      <c r="E12" s="612"/>
      <c r="F12" s="656"/>
      <c r="AMG12"/>
    </row>
    <row r="13" spans="1:1021" ht="15.75" customHeight="1" x14ac:dyDescent="0.2">
      <c r="A13" s="657" t="s">
        <v>417</v>
      </c>
      <c r="B13" s="363"/>
      <c r="C13" s="364">
        <f>C5</f>
        <v>1401.16</v>
      </c>
      <c r="D13" s="365">
        <f>D5</f>
        <v>1146.4036363636365</v>
      </c>
      <c r="E13" s="365">
        <f>E5</f>
        <v>1401.16</v>
      </c>
      <c r="F13" s="658">
        <f>F5</f>
        <v>1916.35</v>
      </c>
      <c r="AMG13"/>
    </row>
    <row r="14" spans="1:1021" ht="15.75" customHeight="1" x14ac:dyDescent="0.2">
      <c r="A14" s="657" t="s">
        <v>418</v>
      </c>
      <c r="B14" s="367">
        <v>0.2</v>
      </c>
      <c r="C14" s="364">
        <f>$B$14*C13</f>
        <v>280.23200000000003</v>
      </c>
      <c r="D14" s="364">
        <f t="shared" ref="D14" si="0">$B$14*D13</f>
        <v>229.28072727272729</v>
      </c>
      <c r="E14" s="364"/>
      <c r="F14" s="658">
        <f>$B$14*F13</f>
        <v>383.27</v>
      </c>
      <c r="AMG14"/>
    </row>
    <row r="15" spans="1:1021" ht="15.75" customHeight="1" x14ac:dyDescent="0.2">
      <c r="A15" s="657" t="s">
        <v>419</v>
      </c>
      <c r="B15" s="367"/>
      <c r="C15" s="364"/>
      <c r="D15" s="365"/>
      <c r="E15" s="365"/>
      <c r="F15" s="658"/>
      <c r="AMG15"/>
    </row>
    <row r="16" spans="1:1021" ht="15.75" customHeight="1" x14ac:dyDescent="0.2">
      <c r="A16" s="657" t="s">
        <v>420</v>
      </c>
      <c r="B16" s="368"/>
      <c r="C16" s="364"/>
      <c r="D16" s="365"/>
      <c r="E16" s="365"/>
      <c r="F16" s="658"/>
      <c r="AMG16"/>
    </row>
    <row r="17" spans="1:1021" ht="15.75" customHeight="1" x14ac:dyDescent="0.2">
      <c r="A17" s="657" t="s">
        <v>421</v>
      </c>
      <c r="B17" s="368"/>
      <c r="C17" s="364"/>
      <c r="D17" s="365"/>
      <c r="E17" s="365"/>
      <c r="F17" s="658"/>
      <c r="AMG17"/>
    </row>
    <row r="18" spans="1:1021" ht="15.75" customHeight="1" x14ac:dyDescent="0.2">
      <c r="A18" s="657" t="s">
        <v>422</v>
      </c>
      <c r="B18" s="367">
        <v>0.3</v>
      </c>
      <c r="C18" s="364"/>
      <c r="D18" s="364"/>
      <c r="E18" s="364">
        <f>$B$18*E13</f>
        <v>420.34800000000001</v>
      </c>
      <c r="F18" s="658"/>
      <c r="AMG18"/>
    </row>
    <row r="19" spans="1:1021" ht="15.75" customHeight="1" x14ac:dyDescent="0.2">
      <c r="A19" s="659" t="s">
        <v>423</v>
      </c>
      <c r="B19" s="660"/>
      <c r="C19" s="661">
        <f>SUM(C13:C18)</f>
        <v>1681.3920000000001</v>
      </c>
      <c r="D19" s="662">
        <f>SUM(D13:D18)</f>
        <v>1375.6843636363637</v>
      </c>
      <c r="E19" s="662">
        <f>SUM(E13:E18)</f>
        <v>1821.508</v>
      </c>
      <c r="F19" s="663">
        <f>SUM(F13:F18)</f>
        <v>2299.62</v>
      </c>
      <c r="AMG19"/>
    </row>
    <row r="20" spans="1:1021" ht="15.75" customHeight="1" x14ac:dyDescent="0.2">
      <c r="A20" s="894"/>
      <c r="B20" s="895"/>
      <c r="C20" s="664"/>
      <c r="D20" s="665"/>
      <c r="E20" s="665"/>
      <c r="F20" s="668"/>
      <c r="AMG20"/>
    </row>
    <row r="21" spans="1:1021" ht="15.75" customHeight="1" x14ac:dyDescent="0.2">
      <c r="A21" s="882" t="s">
        <v>424</v>
      </c>
      <c r="B21" s="883"/>
      <c r="C21" s="883"/>
      <c r="D21" s="883"/>
      <c r="E21" s="883"/>
      <c r="F21" s="884"/>
      <c r="AMG21"/>
    </row>
    <row r="22" spans="1:1021" ht="15.75" customHeight="1" x14ac:dyDescent="0.2">
      <c r="A22" s="669" t="s">
        <v>425</v>
      </c>
      <c r="B22" s="377" t="s">
        <v>415</v>
      </c>
      <c r="C22" s="377" t="s">
        <v>416</v>
      </c>
      <c r="D22" s="377" t="s">
        <v>416</v>
      </c>
      <c r="E22" s="377" t="s">
        <v>416</v>
      </c>
      <c r="F22" s="670" t="s">
        <v>416</v>
      </c>
      <c r="AMG22"/>
    </row>
    <row r="23" spans="1:1021" ht="15.75" customHeight="1" x14ac:dyDescent="0.2">
      <c r="A23" s="671" t="s">
        <v>426</v>
      </c>
      <c r="B23" s="367">
        <f>1/12</f>
        <v>8.3333333333333329E-2</v>
      </c>
      <c r="C23" s="364">
        <f>ROUND($B23*C$19,2)</f>
        <v>140.12</v>
      </c>
      <c r="D23" s="364">
        <f>ROUND($B23*D$19,2)</f>
        <v>114.64</v>
      </c>
      <c r="E23" s="364">
        <f>ROUND($B23*E$19,2)</f>
        <v>151.79</v>
      </c>
      <c r="F23" s="658">
        <f>ROUND($B23*F$19,2)</f>
        <v>191.64</v>
      </c>
      <c r="AMG23"/>
    </row>
    <row r="24" spans="1:1021" ht="15.75" customHeight="1" x14ac:dyDescent="0.2">
      <c r="A24" s="671" t="s">
        <v>427</v>
      </c>
      <c r="B24" s="367">
        <f>1/3*1/12</f>
        <v>2.7777777777777776E-2</v>
      </c>
      <c r="C24" s="364">
        <f>C$19*$B$24</f>
        <v>46.705333333333336</v>
      </c>
      <c r="D24" s="364">
        <f>D$19*$B$24</f>
        <v>38.213454545454546</v>
      </c>
      <c r="E24" s="364">
        <f>E$19*$B$24</f>
        <v>50.597444444444442</v>
      </c>
      <c r="F24" s="658">
        <f>F$19*$B$24</f>
        <v>63.87833333333333</v>
      </c>
      <c r="AMG24"/>
    </row>
    <row r="25" spans="1:1021" ht="15.75" customHeight="1" x14ac:dyDescent="0.2">
      <c r="A25" s="672" t="s">
        <v>423</v>
      </c>
      <c r="B25" s="380">
        <f>SUM(B23:B24)</f>
        <v>0.1111111111111111</v>
      </c>
      <c r="C25" s="371">
        <f>SUM(C23:C24)</f>
        <v>186.82533333333333</v>
      </c>
      <c r="D25" s="371">
        <f>SUM(D23:D24)</f>
        <v>152.85345454545455</v>
      </c>
      <c r="E25" s="371">
        <f>SUM(E23:E24)</f>
        <v>202.38744444444444</v>
      </c>
      <c r="F25" s="673">
        <f>SUM(F23:F24)</f>
        <v>255.51833333333332</v>
      </c>
      <c r="AMG25"/>
    </row>
    <row r="26" spans="1:1021" ht="15.75" customHeight="1" x14ac:dyDescent="0.2">
      <c r="A26" s="669" t="s">
        <v>428</v>
      </c>
      <c r="B26" s="377" t="s">
        <v>415</v>
      </c>
      <c r="C26" s="377" t="s">
        <v>416</v>
      </c>
      <c r="D26" s="377" t="s">
        <v>416</v>
      </c>
      <c r="E26" s="377" t="s">
        <v>416</v>
      </c>
      <c r="F26" s="670" t="s">
        <v>416</v>
      </c>
      <c r="AMG26"/>
    </row>
    <row r="27" spans="1:1021" ht="15.75" customHeight="1" x14ac:dyDescent="0.2">
      <c r="A27" s="669" t="s">
        <v>429</v>
      </c>
      <c r="B27" s="381"/>
      <c r="C27" s="381"/>
      <c r="D27" s="381"/>
      <c r="E27" s="381"/>
      <c r="F27" s="674"/>
      <c r="AMG27"/>
    </row>
    <row r="28" spans="1:1021" ht="15.75" customHeight="1" x14ac:dyDescent="0.2">
      <c r="A28" s="671" t="s">
        <v>430</v>
      </c>
      <c r="B28" s="367">
        <v>0.2</v>
      </c>
      <c r="C28" s="383">
        <f t="shared" ref="C28:C35" si="1">ROUND(($C$19+$C$25)*B28,2)</f>
        <v>373.64</v>
      </c>
      <c r="D28" s="383">
        <f t="shared" ref="D28:D35" si="2">ROUND(($D$19+$D$25)*B28,2)</f>
        <v>305.70999999999998</v>
      </c>
      <c r="E28" s="383">
        <f t="shared" ref="E28:E35" si="3">ROUND(($E$19+$E$25)*B28,2)</f>
        <v>404.78</v>
      </c>
      <c r="F28" s="675">
        <f>ROUND(($F$19+$F$25)*B28,2)</f>
        <v>511.03</v>
      </c>
      <c r="AMG28"/>
    </row>
    <row r="29" spans="1:1021" ht="15.75" customHeight="1" x14ac:dyDescent="0.2">
      <c r="A29" s="671" t="s">
        <v>431</v>
      </c>
      <c r="B29" s="367">
        <v>2.5000000000000001E-2</v>
      </c>
      <c r="C29" s="383">
        <f t="shared" si="1"/>
        <v>46.71</v>
      </c>
      <c r="D29" s="383">
        <f t="shared" si="2"/>
        <v>38.21</v>
      </c>
      <c r="E29" s="383">
        <f t="shared" si="3"/>
        <v>50.6</v>
      </c>
      <c r="F29" s="675">
        <f t="shared" ref="F29:F35" si="4">ROUND(($F$19+$F$25)*B29,2)</f>
        <v>63.88</v>
      </c>
      <c r="AMG29"/>
    </row>
    <row r="30" spans="1:1021" ht="15.75" customHeight="1" x14ac:dyDescent="0.2">
      <c r="A30" s="671" t="s">
        <v>432</v>
      </c>
      <c r="B30" s="367">
        <v>0.03</v>
      </c>
      <c r="C30" s="383">
        <f t="shared" si="1"/>
        <v>56.05</v>
      </c>
      <c r="D30" s="383">
        <f t="shared" si="2"/>
        <v>45.86</v>
      </c>
      <c r="E30" s="383">
        <f t="shared" si="3"/>
        <v>60.72</v>
      </c>
      <c r="F30" s="675">
        <f t="shared" si="4"/>
        <v>76.650000000000006</v>
      </c>
      <c r="AMG30"/>
    </row>
    <row r="31" spans="1:1021" ht="15.75" customHeight="1" x14ac:dyDescent="0.2">
      <c r="A31" s="671" t="s">
        <v>433</v>
      </c>
      <c r="B31" s="367">
        <v>1.4999999999999999E-2</v>
      </c>
      <c r="C31" s="383">
        <f t="shared" si="1"/>
        <v>28.02</v>
      </c>
      <c r="D31" s="383">
        <f t="shared" si="2"/>
        <v>22.93</v>
      </c>
      <c r="E31" s="383">
        <f t="shared" si="3"/>
        <v>30.36</v>
      </c>
      <c r="F31" s="675">
        <f t="shared" si="4"/>
        <v>38.33</v>
      </c>
      <c r="AMG31"/>
    </row>
    <row r="32" spans="1:1021" ht="15.75" customHeight="1" x14ac:dyDescent="0.2">
      <c r="A32" s="671" t="s">
        <v>434</v>
      </c>
      <c r="B32" s="367">
        <v>0.01</v>
      </c>
      <c r="C32" s="383">
        <f t="shared" si="1"/>
        <v>18.68</v>
      </c>
      <c r="D32" s="383">
        <f t="shared" si="2"/>
        <v>15.29</v>
      </c>
      <c r="E32" s="383">
        <f t="shared" si="3"/>
        <v>20.239999999999998</v>
      </c>
      <c r="F32" s="675">
        <f t="shared" si="4"/>
        <v>25.55</v>
      </c>
      <c r="AMG32"/>
    </row>
    <row r="33" spans="1:1021" ht="15.75" customHeight="1" x14ac:dyDescent="0.2">
      <c r="A33" s="671" t="s">
        <v>435</v>
      </c>
      <c r="B33" s="367">
        <v>6.0000000000000001E-3</v>
      </c>
      <c r="C33" s="383">
        <f t="shared" si="1"/>
        <v>11.21</v>
      </c>
      <c r="D33" s="383">
        <f t="shared" si="2"/>
        <v>9.17</v>
      </c>
      <c r="E33" s="383">
        <f t="shared" si="3"/>
        <v>12.14</v>
      </c>
      <c r="F33" s="675">
        <f t="shared" si="4"/>
        <v>15.33</v>
      </c>
      <c r="AMG33"/>
    </row>
    <row r="34" spans="1:1021" ht="15.75" customHeight="1" x14ac:dyDescent="0.2">
      <c r="A34" s="671" t="s">
        <v>436</v>
      </c>
      <c r="B34" s="367">
        <v>2E-3</v>
      </c>
      <c r="C34" s="383">
        <f t="shared" si="1"/>
        <v>3.74</v>
      </c>
      <c r="D34" s="383">
        <f t="shared" si="2"/>
        <v>3.06</v>
      </c>
      <c r="E34" s="383">
        <f t="shared" si="3"/>
        <v>4.05</v>
      </c>
      <c r="F34" s="675">
        <f t="shared" si="4"/>
        <v>5.1100000000000003</v>
      </c>
      <c r="AMG34"/>
    </row>
    <row r="35" spans="1:1021" ht="15.75" customHeight="1" x14ac:dyDescent="0.2">
      <c r="A35" s="671" t="s">
        <v>437</v>
      </c>
      <c r="B35" s="367">
        <v>0.08</v>
      </c>
      <c r="C35" s="383">
        <f t="shared" si="1"/>
        <v>149.46</v>
      </c>
      <c r="D35" s="383">
        <f t="shared" si="2"/>
        <v>122.28</v>
      </c>
      <c r="E35" s="383">
        <f t="shared" si="3"/>
        <v>161.91</v>
      </c>
      <c r="F35" s="675">
        <f t="shared" si="4"/>
        <v>204.41</v>
      </c>
      <c r="AMG35"/>
    </row>
    <row r="36" spans="1:1021" ht="15.75" customHeight="1" x14ac:dyDescent="0.2">
      <c r="A36" s="672" t="s">
        <v>423</v>
      </c>
      <c r="B36" s="380">
        <f>SUM(B28:B35)</f>
        <v>0.36800000000000005</v>
      </c>
      <c r="C36" s="371">
        <f>SUM(C27:C35)</f>
        <v>687.51</v>
      </c>
      <c r="D36" s="371">
        <f>SUM(D27:D35)</f>
        <v>562.51</v>
      </c>
      <c r="E36" s="371">
        <f>SUM(E28:E35)</f>
        <v>744.8</v>
      </c>
      <c r="F36" s="673">
        <f>SUM(F28:F35)</f>
        <v>940.29</v>
      </c>
      <c r="AMG36"/>
    </row>
    <row r="37" spans="1:1021" ht="15.75" customHeight="1" x14ac:dyDescent="0.2">
      <c r="A37" s="669" t="s">
        <v>438</v>
      </c>
      <c r="B37" s="377" t="s">
        <v>439</v>
      </c>
      <c r="C37" s="377" t="s">
        <v>416</v>
      </c>
      <c r="D37" s="377" t="s">
        <v>416</v>
      </c>
      <c r="E37" s="377" t="s">
        <v>416</v>
      </c>
      <c r="F37" s="670" t="s">
        <v>416</v>
      </c>
      <c r="AMG37"/>
    </row>
    <row r="38" spans="1:1021" ht="15.75" customHeight="1" x14ac:dyDescent="0.2">
      <c r="A38" s="671" t="s">
        <v>440</v>
      </c>
      <c r="B38" s="385">
        <f>MC!D83</f>
        <v>5</v>
      </c>
      <c r="C38" s="364">
        <f>ROUND(((2*22*$B$38)-0.06*C$13),2)</f>
        <v>135.93</v>
      </c>
      <c r="D38" s="364">
        <f>ROUND(((2*22*$B$38)-0.06*D$13),2)</f>
        <v>151.22</v>
      </c>
      <c r="E38" s="364">
        <f>ROUND(((2*22*$B$38)-0.06*E$13),2)</f>
        <v>135.93</v>
      </c>
      <c r="F38" s="658">
        <f>ROUND(((2*22*$B$38)-0.06*F$13),2)</f>
        <v>105.02</v>
      </c>
      <c r="AMG38"/>
    </row>
    <row r="39" spans="1:1021" ht="15.75" customHeight="1" x14ac:dyDescent="0.2">
      <c r="A39" s="671" t="s">
        <v>441</v>
      </c>
      <c r="B39" s="386"/>
      <c r="C39" s="383">
        <f>MC!J20</f>
        <v>463.26</v>
      </c>
      <c r="D39" s="383">
        <f>MC!J21</f>
        <v>380.93</v>
      </c>
      <c r="E39" s="383">
        <f>MC!J20</f>
        <v>463.26</v>
      </c>
      <c r="F39" s="675">
        <f>MC!J20</f>
        <v>463.26</v>
      </c>
      <c r="AMG39"/>
    </row>
    <row r="40" spans="1:1021" ht="15.75" customHeight="1" x14ac:dyDescent="0.2">
      <c r="A40" s="671" t="s">
        <v>540</v>
      </c>
      <c r="B40" s="367">
        <f>MC!C25</f>
        <v>0</v>
      </c>
      <c r="C40" s="383">
        <f>MC!J25</f>
        <v>200</v>
      </c>
      <c r="D40" s="383">
        <f>MC!J26</f>
        <v>150</v>
      </c>
      <c r="E40" s="383">
        <f>MC!J25</f>
        <v>200</v>
      </c>
      <c r="F40" s="675">
        <f>MC!J25</f>
        <v>200</v>
      </c>
      <c r="AMG40"/>
    </row>
    <row r="41" spans="1:1021" ht="15.75" customHeight="1" x14ac:dyDescent="0.2">
      <c r="A41" s="671" t="s">
        <v>443</v>
      </c>
      <c r="B41" s="387">
        <f>MC!J24</f>
        <v>11</v>
      </c>
      <c r="C41" s="383">
        <f>B41</f>
        <v>11</v>
      </c>
      <c r="D41" s="383">
        <f>B41</f>
        <v>11</v>
      </c>
      <c r="E41" s="383">
        <f>B41</f>
        <v>11</v>
      </c>
      <c r="F41" s="675">
        <f>B41</f>
        <v>11</v>
      </c>
      <c r="AMG41"/>
    </row>
    <row r="42" spans="1:1021" ht="15.75" customHeight="1" x14ac:dyDescent="0.2">
      <c r="A42" s="671" t="s">
        <v>444</v>
      </c>
      <c r="B42" s="367">
        <f>MC!H23</f>
        <v>7.0000000000000007E-2</v>
      </c>
      <c r="C42" s="383">
        <f>$B$42*C19</f>
        <v>117.69744000000001</v>
      </c>
      <c r="D42" s="383">
        <f>$B$42*D19</f>
        <v>96.297905454545472</v>
      </c>
      <c r="E42" s="383">
        <f>$B$42*E19</f>
        <v>127.50556000000002</v>
      </c>
      <c r="F42" s="675">
        <f>$B$42*F19</f>
        <v>160.9734</v>
      </c>
      <c r="AMG42"/>
    </row>
    <row r="43" spans="1:1021" ht="15.75" customHeight="1" x14ac:dyDescent="0.2">
      <c r="A43" s="671" t="s">
        <v>445</v>
      </c>
      <c r="B43" s="367"/>
      <c r="C43" s="383"/>
      <c r="D43" s="383"/>
      <c r="E43" s="383"/>
      <c r="F43" s="675"/>
      <c r="AMG43"/>
    </row>
    <row r="44" spans="1:1021" ht="15.75" customHeight="1" x14ac:dyDescent="0.2">
      <c r="A44" s="672" t="s">
        <v>423</v>
      </c>
      <c r="B44" s="370"/>
      <c r="C44" s="371">
        <f>SUM(C38:C43)</f>
        <v>927.88744000000008</v>
      </c>
      <c r="D44" s="371">
        <f>SUM(D38:D43)</f>
        <v>789.44790545454543</v>
      </c>
      <c r="E44" s="371">
        <f>SUM(E38:E43)</f>
        <v>937.69556000000011</v>
      </c>
      <c r="F44" s="673">
        <f>SUM(F38:F43)</f>
        <v>940.25339999999994</v>
      </c>
      <c r="AMG44"/>
    </row>
    <row r="45" spans="1:1021" ht="15.75" customHeight="1" x14ac:dyDescent="0.2">
      <c r="A45" s="655" t="s">
        <v>446</v>
      </c>
      <c r="B45" s="360" t="s">
        <v>415</v>
      </c>
      <c r="C45" s="360" t="s">
        <v>416</v>
      </c>
      <c r="D45" s="360" t="s">
        <v>416</v>
      </c>
      <c r="E45" s="360" t="s">
        <v>416</v>
      </c>
      <c r="F45" s="676" t="s">
        <v>416</v>
      </c>
      <c r="AMG45"/>
    </row>
    <row r="46" spans="1:1021" ht="15.75" customHeight="1" x14ac:dyDescent="0.2">
      <c r="A46" s="671" t="s">
        <v>425</v>
      </c>
      <c r="B46" s="388">
        <f>B25</f>
        <v>0.1111111111111111</v>
      </c>
      <c r="C46" s="389">
        <f>C25</f>
        <v>186.82533333333333</v>
      </c>
      <c r="D46" s="389">
        <f>D25</f>
        <v>152.85345454545455</v>
      </c>
      <c r="E46" s="389">
        <f>E25</f>
        <v>202.38744444444444</v>
      </c>
      <c r="F46" s="677">
        <f>F25</f>
        <v>255.51833333333332</v>
      </c>
      <c r="AMG46"/>
    </row>
    <row r="47" spans="1:1021" ht="15.75" customHeight="1" x14ac:dyDescent="0.2">
      <c r="A47" s="671" t="s">
        <v>447</v>
      </c>
      <c r="B47" s="388">
        <f>B36</f>
        <v>0.36800000000000005</v>
      </c>
      <c r="C47" s="389">
        <f>C36</f>
        <v>687.51</v>
      </c>
      <c r="D47" s="389">
        <f>D36</f>
        <v>562.51</v>
      </c>
      <c r="E47" s="389">
        <f>E36</f>
        <v>744.8</v>
      </c>
      <c r="F47" s="677">
        <f>F36</f>
        <v>940.29</v>
      </c>
      <c r="AMG47"/>
    </row>
    <row r="48" spans="1:1021" ht="15.75" customHeight="1" x14ac:dyDescent="0.2">
      <c r="A48" s="671" t="s">
        <v>438</v>
      </c>
      <c r="B48" s="388"/>
      <c r="C48" s="389">
        <f>C44</f>
        <v>927.88744000000008</v>
      </c>
      <c r="D48" s="389">
        <f>D44</f>
        <v>789.44790545454543</v>
      </c>
      <c r="E48" s="389">
        <f>E44</f>
        <v>937.69556000000011</v>
      </c>
      <c r="F48" s="677">
        <f>F44</f>
        <v>940.25339999999994</v>
      </c>
      <c r="AMG48"/>
    </row>
    <row r="49" spans="1:1021" ht="15.75" customHeight="1" x14ac:dyDescent="0.2">
      <c r="A49" s="757" t="s">
        <v>423</v>
      </c>
      <c r="B49" s="758"/>
      <c r="C49" s="759">
        <f>SUM(C46:C48)</f>
        <v>1802.2227733333334</v>
      </c>
      <c r="D49" s="759">
        <f>SUM(D46:D48)</f>
        <v>1504.8113599999999</v>
      </c>
      <c r="E49" s="759">
        <f>SUM(E46:E48)</f>
        <v>1884.8830044444444</v>
      </c>
      <c r="F49" s="673">
        <f>SUM(F46:F48)</f>
        <v>2136.0617333333334</v>
      </c>
      <c r="AMG49"/>
    </row>
    <row r="50" spans="1:1021" ht="15.75" customHeight="1" x14ac:dyDescent="0.2">
      <c r="A50" s="878"/>
      <c r="B50" s="879"/>
      <c r="C50" s="745"/>
      <c r="D50" s="745"/>
      <c r="E50" s="745"/>
      <c r="F50" s="756"/>
      <c r="AMG50"/>
    </row>
    <row r="51" spans="1:1021" s="391" customFormat="1" ht="15.75" customHeight="1" x14ac:dyDescent="0.2">
      <c r="A51" s="885" t="s">
        <v>448</v>
      </c>
      <c r="B51" s="886"/>
      <c r="C51" s="886"/>
      <c r="D51" s="886"/>
      <c r="E51" s="886"/>
      <c r="F51" s="884"/>
    </row>
    <row r="52" spans="1:1021" ht="15.75" customHeight="1" x14ac:dyDescent="0.2">
      <c r="A52" s="655" t="s">
        <v>449</v>
      </c>
      <c r="B52" s="360" t="s">
        <v>415</v>
      </c>
      <c r="C52" s="360" t="s">
        <v>416</v>
      </c>
      <c r="D52" s="360" t="s">
        <v>416</v>
      </c>
      <c r="E52" s="360" t="s">
        <v>416</v>
      </c>
      <c r="F52" s="676" t="s">
        <v>416</v>
      </c>
      <c r="AMG52"/>
    </row>
    <row r="53" spans="1:1021" ht="15.75" customHeight="1" x14ac:dyDescent="0.2">
      <c r="A53" s="669" t="s">
        <v>450</v>
      </c>
      <c r="B53" s="392"/>
      <c r="C53" s="392"/>
      <c r="D53" s="392"/>
      <c r="E53" s="392"/>
      <c r="F53" s="680"/>
      <c r="AMG53"/>
    </row>
    <row r="54" spans="1:1021" ht="15.75" customHeight="1" x14ac:dyDescent="0.2">
      <c r="A54" s="671" t="s">
        <v>451</v>
      </c>
      <c r="B54" s="388">
        <f>1/12*0.05</f>
        <v>4.1666666666666666E-3</v>
      </c>
      <c r="C54" s="394">
        <f>C19*$B54</f>
        <v>7.0057999999999998</v>
      </c>
      <c r="D54" s="394">
        <f>D19*$B54</f>
        <v>5.7320181818181819</v>
      </c>
      <c r="E54" s="394">
        <f>E19*$B54</f>
        <v>7.5896166666666671</v>
      </c>
      <c r="F54" s="681">
        <f>F19*$B54</f>
        <v>9.5817499999999995</v>
      </c>
      <c r="AMG54"/>
    </row>
    <row r="55" spans="1:1021" ht="15.75" customHeight="1" x14ac:dyDescent="0.2">
      <c r="A55" s="671" t="s">
        <v>452</v>
      </c>
      <c r="B55" s="388">
        <f>B35*B54</f>
        <v>3.3333333333333332E-4</v>
      </c>
      <c r="C55" s="394">
        <f>$B$55*C19</f>
        <v>0.56046399999999996</v>
      </c>
      <c r="D55" s="394">
        <f>$B$55*D19</f>
        <v>0.45856145454545455</v>
      </c>
      <c r="E55" s="394">
        <f>$B$55*E19</f>
        <v>0.60716933333333334</v>
      </c>
      <c r="F55" s="681">
        <f>$B$55*F19</f>
        <v>0.76653999999999989</v>
      </c>
      <c r="AMG55"/>
    </row>
    <row r="56" spans="1:1021" ht="15.75" customHeight="1" x14ac:dyDescent="0.2">
      <c r="A56" s="671" t="s">
        <v>453</v>
      </c>
      <c r="B56" s="388">
        <v>0</v>
      </c>
      <c r="C56" s="394">
        <f>C35*$B56</f>
        <v>0</v>
      </c>
      <c r="D56" s="394">
        <f>D35*$B56</f>
        <v>0</v>
      </c>
      <c r="E56" s="394">
        <f>E35*$B56</f>
        <v>0</v>
      </c>
      <c r="F56" s="681">
        <f>F35*$B56</f>
        <v>0</v>
      </c>
      <c r="AMG56"/>
    </row>
    <row r="57" spans="1:1021" ht="15.75" customHeight="1" x14ac:dyDescent="0.2">
      <c r="A57" s="671" t="s">
        <v>454</v>
      </c>
      <c r="B57" s="388">
        <f>1/12*1/30*7</f>
        <v>1.9444444444444441E-2</v>
      </c>
      <c r="C57" s="389">
        <f>C19*$B57</f>
        <v>32.693733333333327</v>
      </c>
      <c r="D57" s="389">
        <f>D19*$B57</f>
        <v>26.749418181818179</v>
      </c>
      <c r="E57" s="389">
        <f>E19*$B57</f>
        <v>35.418211111111106</v>
      </c>
      <c r="F57" s="677">
        <f>F19*$B57</f>
        <v>44.714833333333324</v>
      </c>
      <c r="AMG57"/>
    </row>
    <row r="58" spans="1:1021" ht="15.75" customHeight="1" x14ac:dyDescent="0.2">
      <c r="A58" s="671" t="s">
        <v>455</v>
      </c>
      <c r="B58" s="388">
        <f>B36*B57</f>
        <v>7.1555555555555556E-3</v>
      </c>
      <c r="C58" s="389">
        <f>$B58*C19</f>
        <v>12.031293866666667</v>
      </c>
      <c r="D58" s="389">
        <f>$B58*D19</f>
        <v>9.843785890909091</v>
      </c>
      <c r="E58" s="389">
        <f>$B58*E19</f>
        <v>13.033901688888889</v>
      </c>
      <c r="F58" s="677">
        <f>$B58*F19</f>
        <v>16.455058666666666</v>
      </c>
      <c r="AMG58"/>
    </row>
    <row r="59" spans="1:1021" ht="15.75" customHeight="1" x14ac:dyDescent="0.2">
      <c r="A59" s="671" t="s">
        <v>456</v>
      </c>
      <c r="B59" s="388">
        <f>B35*40/100*90/100*(1+1/12+1/12+1/3*1/12)</f>
        <v>3.4399999999999993E-2</v>
      </c>
      <c r="C59" s="389">
        <f>C19*$B59</f>
        <v>57.839884799999993</v>
      </c>
      <c r="D59" s="389">
        <f>D19*$B59</f>
        <v>47.323542109090901</v>
      </c>
      <c r="E59" s="389">
        <f>E19*$B59</f>
        <v>62.659875199999988</v>
      </c>
      <c r="F59" s="677">
        <f>F19*$B59</f>
        <v>79.106927999999982</v>
      </c>
      <c r="AMG59"/>
    </row>
    <row r="60" spans="1:1021" ht="15.75" customHeight="1" x14ac:dyDescent="0.2">
      <c r="A60" s="672" t="s">
        <v>423</v>
      </c>
      <c r="B60" s="380">
        <f>SUM(B54:B59)</f>
        <v>6.5499999999999989E-2</v>
      </c>
      <c r="C60" s="395">
        <f>SUM(C54:C59)</f>
        <v>110.13117599999998</v>
      </c>
      <c r="D60" s="395">
        <f>SUM(D54:D59)</f>
        <v>90.107325818181806</v>
      </c>
      <c r="E60" s="395">
        <f>SUM(E54:E59)</f>
        <v>119.30877399999999</v>
      </c>
      <c r="F60" s="682">
        <f>SUM(F54:F59)</f>
        <v>150.62510999999998</v>
      </c>
      <c r="AMG60"/>
    </row>
    <row r="61" spans="1:1021" ht="15.75" customHeight="1" x14ac:dyDescent="0.2">
      <c r="A61" s="880"/>
      <c r="B61" s="881"/>
      <c r="C61" s="397"/>
      <c r="D61" s="397"/>
      <c r="E61" s="397"/>
      <c r="F61" s="683"/>
      <c r="AMG61"/>
    </row>
    <row r="62" spans="1:1021" ht="15.75" customHeight="1" x14ac:dyDescent="0.2">
      <c r="A62" s="885" t="s">
        <v>457</v>
      </c>
      <c r="B62" s="886"/>
      <c r="C62" s="886"/>
      <c r="D62" s="886"/>
      <c r="E62" s="886"/>
      <c r="F62" s="887"/>
      <c r="AMG62"/>
    </row>
    <row r="63" spans="1:1021" ht="15.75" customHeight="1" x14ac:dyDescent="0.2">
      <c r="A63" s="669" t="s">
        <v>45</v>
      </c>
      <c r="B63" s="377"/>
      <c r="C63" s="377"/>
      <c r="D63" s="377"/>
      <c r="E63" s="377"/>
      <c r="F63" s="670"/>
      <c r="AMG63"/>
    </row>
    <row r="64" spans="1:1021" ht="15.75" customHeight="1" x14ac:dyDescent="0.2">
      <c r="A64" s="671" t="s">
        <v>46</v>
      </c>
      <c r="B64" s="367">
        <f>1/12</f>
        <v>8.3333333333333329E-2</v>
      </c>
      <c r="C64" s="383">
        <f>$B64*(C$19+(C$49-C$38-C$39)+C$60)</f>
        <v>249.54632911111108</v>
      </c>
      <c r="D64" s="383">
        <f t="shared" ref="D64:F64" si="5">$B64*(D$19+(D$49-D$38-D$39)+D$60)</f>
        <v>203.2044207878788</v>
      </c>
      <c r="E64" s="383">
        <f t="shared" si="5"/>
        <v>268.87581487037033</v>
      </c>
      <c r="F64" s="675">
        <f t="shared" si="5"/>
        <v>334.83557027777772</v>
      </c>
      <c r="AMG64"/>
    </row>
    <row r="65" spans="1:1021" ht="15.75" customHeight="1" x14ac:dyDescent="0.2">
      <c r="A65" s="671" t="s">
        <v>458</v>
      </c>
      <c r="B65" s="367">
        <f>MC!E52/30/12</f>
        <v>1.3538888888888885E-2</v>
      </c>
      <c r="C65" s="383">
        <f t="shared" ref="C65:F67" si="6">$B65*(C$19+(C$49-C$38-C$39)+C$60)</f>
        <v>40.542960269585173</v>
      </c>
      <c r="D65" s="383">
        <f t="shared" si="6"/>
        <v>33.013944897337367</v>
      </c>
      <c r="E65" s="383">
        <f t="shared" si="6"/>
        <v>43.683357389272821</v>
      </c>
      <c r="F65" s="675">
        <f t="shared" si="6"/>
        <v>54.399618984462947</v>
      </c>
      <c r="AMG65"/>
    </row>
    <row r="66" spans="1:1021" ht="15.75" customHeight="1" x14ac:dyDescent="0.2">
      <c r="A66" s="671" t="s">
        <v>459</v>
      </c>
      <c r="B66" s="399">
        <f>(5/30)/12*MC!F54*MC!C55</f>
        <v>1.0764583333333333E-4</v>
      </c>
      <c r="C66" s="383">
        <f t="shared" si="6"/>
        <v>0.32235147062927777</v>
      </c>
      <c r="D66" s="383">
        <f t="shared" si="6"/>
        <v>0.26248931055274244</v>
      </c>
      <c r="E66" s="383">
        <f t="shared" si="6"/>
        <v>0.3473203338588009</v>
      </c>
      <c r="F66" s="675">
        <f t="shared" si="6"/>
        <v>0.43252384790631943</v>
      </c>
      <c r="AMG66"/>
    </row>
    <row r="67" spans="1:1021" ht="15.75" customHeight="1" x14ac:dyDescent="0.2">
      <c r="A67" s="671" t="s">
        <v>460</v>
      </c>
      <c r="B67" s="399">
        <f>MC!C57/30/12</f>
        <v>2.6830555555555553E-3</v>
      </c>
      <c r="C67" s="383">
        <f t="shared" si="6"/>
        <v>8.0345599762807396</v>
      </c>
      <c r="D67" s="383">
        <f t="shared" si="6"/>
        <v>6.5425050013004036</v>
      </c>
      <c r="E67" s="383">
        <f t="shared" si="6"/>
        <v>8.6569049861096907</v>
      </c>
      <c r="F67" s="675">
        <f t="shared" si="6"/>
        <v>10.78058924437685</v>
      </c>
      <c r="AMG67"/>
    </row>
    <row r="68" spans="1:1021" ht="15.75" customHeight="1" x14ac:dyDescent="0.2">
      <c r="A68" s="671" t="s">
        <v>461</v>
      </c>
      <c r="B68" s="367"/>
      <c r="C68" s="383"/>
      <c r="D68" s="383"/>
      <c r="E68" s="383">
        <f>B68*($E$19+$E$49+$E$60)</f>
        <v>0</v>
      </c>
      <c r="F68" s="675">
        <f>C68*($E$19+$E$49+$E$60)</f>
        <v>0</v>
      </c>
      <c r="AMG68"/>
    </row>
    <row r="69" spans="1:1021" ht="15.75" customHeight="1" x14ac:dyDescent="0.2">
      <c r="A69" s="684" t="s">
        <v>462</v>
      </c>
      <c r="B69" s="401">
        <f>SUM(B64:B68)</f>
        <v>9.9662923611111107E-2</v>
      </c>
      <c r="C69" s="402">
        <f>SUM(C64:C68)</f>
        <v>298.44620082760622</v>
      </c>
      <c r="D69" s="402">
        <f>SUM(D64:D68)</f>
        <v>243.02335999706932</v>
      </c>
      <c r="E69" s="402">
        <f>SUM(E64:E68)</f>
        <v>321.56339757961166</v>
      </c>
      <c r="F69" s="685">
        <f>SUM(F64:F68)</f>
        <v>400.44830235452389</v>
      </c>
      <c r="AMG69"/>
    </row>
    <row r="70" spans="1:1021" ht="15.75" customHeight="1" x14ac:dyDescent="0.2">
      <c r="A70" s="669" t="s">
        <v>463</v>
      </c>
      <c r="B70" s="377"/>
      <c r="C70" s="377"/>
      <c r="D70" s="377"/>
      <c r="E70" s="377"/>
      <c r="F70" s="670"/>
      <c r="AMG70"/>
    </row>
    <row r="71" spans="1:1021" ht="15.75" customHeight="1" x14ac:dyDescent="0.2">
      <c r="A71" s="671" t="s">
        <v>464</v>
      </c>
      <c r="B71" s="367"/>
      <c r="C71" s="383"/>
      <c r="D71" s="383"/>
      <c r="E71" s="383"/>
      <c r="F71" s="675"/>
      <c r="AMG71"/>
    </row>
    <row r="72" spans="1:1021" ht="15.75" customHeight="1" x14ac:dyDescent="0.2">
      <c r="A72" s="684" t="s">
        <v>462</v>
      </c>
      <c r="B72" s="401"/>
      <c r="C72" s="402">
        <f>C71</f>
        <v>0</v>
      </c>
      <c r="D72" s="402"/>
      <c r="E72" s="402"/>
      <c r="F72" s="685"/>
      <c r="AMG72"/>
    </row>
    <row r="73" spans="1:1021" ht="15.75" customHeight="1" x14ac:dyDescent="0.2">
      <c r="A73" s="669" t="s">
        <v>67</v>
      </c>
      <c r="B73" s="377"/>
      <c r="C73" s="377"/>
      <c r="D73" s="377"/>
      <c r="E73" s="377"/>
      <c r="F73" s="670"/>
      <c r="AMG73"/>
    </row>
    <row r="74" spans="1:1021" ht="15.75" customHeight="1" x14ac:dyDescent="0.2">
      <c r="A74" s="671" t="s">
        <v>68</v>
      </c>
      <c r="B74" s="367">
        <f>120/30*MC!C60*MC!C61</f>
        <v>6.18624E-3</v>
      </c>
      <c r="C74" s="383">
        <f>(((C19*2)+ (C19*1/3))+(C36)+(C44-C38-C39))*$B$74</f>
        <v>30.556656821145598</v>
      </c>
      <c r="D74" s="383">
        <f>(((D19*2)+ (D19*1/3))+(D36)+(D44-D38-D39))*$B$74</f>
        <v>24.928926945010037</v>
      </c>
      <c r="E74" s="383">
        <f>(((E19*2)+ (E19*1/3))+(E36)+(E44-E38-E39))*$B$74</f>
        <v>32.994254703974399</v>
      </c>
      <c r="F74" s="675">
        <f>(((F19*2)+ (F19*1/3))+(F36)+(F44-F38-F39))*$B$74</f>
        <v>41.311979202815998</v>
      </c>
      <c r="AMG74"/>
    </row>
    <row r="75" spans="1:1021" ht="15.75" customHeight="1" x14ac:dyDescent="0.2">
      <c r="A75" s="684" t="s">
        <v>423</v>
      </c>
      <c r="B75" s="401"/>
      <c r="C75" s="402"/>
      <c r="D75" s="402"/>
      <c r="E75" s="402"/>
      <c r="F75" s="685"/>
      <c r="AMG75"/>
    </row>
    <row r="76" spans="1:1021" ht="15.75" customHeight="1" x14ac:dyDescent="0.2">
      <c r="A76" s="655" t="s">
        <v>465</v>
      </c>
      <c r="B76" s="360"/>
      <c r="C76" s="360"/>
      <c r="D76" s="360"/>
      <c r="E76" s="360"/>
      <c r="F76" s="676"/>
      <c r="AMG76"/>
    </row>
    <row r="77" spans="1:1021" ht="15.75" customHeight="1" x14ac:dyDescent="0.2">
      <c r="A77" s="671" t="s">
        <v>45</v>
      </c>
      <c r="B77" s="388">
        <f>B69</f>
        <v>9.9662923611111107E-2</v>
      </c>
      <c r="C77" s="389">
        <f>C69</f>
        <v>298.44620082760622</v>
      </c>
      <c r="D77" s="389">
        <f>D69</f>
        <v>243.02335999706932</v>
      </c>
      <c r="E77" s="389">
        <f>E69</f>
        <v>321.56339757961166</v>
      </c>
      <c r="F77" s="677">
        <f>F69</f>
        <v>400.44830235452389</v>
      </c>
      <c r="AMG77"/>
    </row>
    <row r="78" spans="1:1021" ht="15.75" customHeight="1" x14ac:dyDescent="0.2">
      <c r="A78" s="671" t="s">
        <v>463</v>
      </c>
      <c r="B78" s="388">
        <f>B72</f>
        <v>0</v>
      </c>
      <c r="C78" s="389">
        <f>C72</f>
        <v>0</v>
      </c>
      <c r="D78" s="389">
        <f>D72</f>
        <v>0</v>
      </c>
      <c r="E78" s="389">
        <f>E72</f>
        <v>0</v>
      </c>
      <c r="F78" s="677">
        <f>F72</f>
        <v>0</v>
      </c>
      <c r="AMG78"/>
    </row>
    <row r="79" spans="1:1021" ht="15.75" customHeight="1" x14ac:dyDescent="0.2">
      <c r="A79" s="671" t="s">
        <v>67</v>
      </c>
      <c r="B79" s="388">
        <f>B74</f>
        <v>6.18624E-3</v>
      </c>
      <c r="C79" s="389">
        <f>C74</f>
        <v>30.556656821145598</v>
      </c>
      <c r="D79" s="389">
        <f>D74</f>
        <v>24.928926945010037</v>
      </c>
      <c r="E79" s="389">
        <f>E74</f>
        <v>32.994254703974399</v>
      </c>
      <c r="F79" s="677">
        <f>F74</f>
        <v>41.311979202815998</v>
      </c>
      <c r="AMG79"/>
    </row>
    <row r="80" spans="1:1021" ht="15.75" customHeight="1" x14ac:dyDescent="0.2">
      <c r="A80" s="672" t="s">
        <v>423</v>
      </c>
      <c r="B80" s="370"/>
      <c r="C80" s="371">
        <f>SUM(C77:C79)</f>
        <v>329.00285764875184</v>
      </c>
      <c r="D80" s="371">
        <f>SUM(D77:D79)</f>
        <v>267.95228694207935</v>
      </c>
      <c r="E80" s="371">
        <f>SUM(E77:E79)</f>
        <v>354.55765228358604</v>
      </c>
      <c r="F80" s="673">
        <f>SUM(F77:F79)</f>
        <v>441.76028155733991</v>
      </c>
      <c r="AMG80"/>
    </row>
    <row r="81" spans="1:1021" ht="15.75" customHeight="1" x14ac:dyDescent="0.2">
      <c r="A81" s="678"/>
      <c r="B81" s="374"/>
      <c r="C81" s="374"/>
      <c r="D81" s="374"/>
      <c r="E81" s="374"/>
      <c r="F81" s="679"/>
      <c r="AMG81"/>
    </row>
    <row r="82" spans="1:1021" ht="15.75" customHeight="1" x14ac:dyDescent="0.2">
      <c r="A82" s="882" t="s">
        <v>466</v>
      </c>
      <c r="B82" s="883"/>
      <c r="C82" s="883"/>
      <c r="D82" s="883"/>
      <c r="E82" s="883"/>
      <c r="F82" s="884"/>
      <c r="AMG82"/>
    </row>
    <row r="83" spans="1:1021" ht="15.75" customHeight="1" x14ac:dyDescent="0.2">
      <c r="A83" s="655" t="s">
        <v>467</v>
      </c>
      <c r="B83" s="360" t="s">
        <v>439</v>
      </c>
      <c r="C83" s="360" t="s">
        <v>416</v>
      </c>
      <c r="D83" s="360" t="s">
        <v>416</v>
      </c>
      <c r="E83" s="360" t="s">
        <v>416</v>
      </c>
      <c r="F83" s="676" t="s">
        <v>416</v>
      </c>
      <c r="AMG83"/>
    </row>
    <row r="84" spans="1:1021" ht="15.75" customHeight="1" x14ac:dyDescent="0.2">
      <c r="A84" s="671" t="s">
        <v>468</v>
      </c>
      <c r="B84" s="407">
        <f>Insumos!F110</f>
        <v>33.474166666666669</v>
      </c>
      <c r="C84" s="364">
        <f>B84</f>
        <v>33.474166666666669</v>
      </c>
      <c r="D84" s="364">
        <f>B84</f>
        <v>33.474166666666669</v>
      </c>
      <c r="E84" s="364">
        <f>B84</f>
        <v>33.474166666666669</v>
      </c>
      <c r="F84" s="658">
        <f>B84</f>
        <v>33.474166666666669</v>
      </c>
      <c r="AMG84"/>
    </row>
    <row r="85" spans="1:1021" ht="15.75" customHeight="1" x14ac:dyDescent="0.2">
      <c r="A85" s="686" t="s">
        <v>469</v>
      </c>
      <c r="B85" s="407">
        <f>Insumos!E59</f>
        <v>512.71338333333324</v>
      </c>
      <c r="C85" s="364">
        <f>B85</f>
        <v>512.71338333333324</v>
      </c>
      <c r="D85" s="364">
        <f>B85</f>
        <v>512.71338333333324</v>
      </c>
      <c r="E85" s="364"/>
      <c r="F85" s="658"/>
      <c r="AMG85"/>
    </row>
    <row r="86" spans="1:1021" ht="15.75" customHeight="1" x14ac:dyDescent="0.2">
      <c r="A86" s="686" t="s">
        <v>470</v>
      </c>
      <c r="B86" s="409">
        <f>Insumos!F100</f>
        <v>33.533803333333339</v>
      </c>
      <c r="C86" s="364">
        <f>B86</f>
        <v>33.533803333333339</v>
      </c>
      <c r="D86" s="364">
        <f>B86</f>
        <v>33.533803333333339</v>
      </c>
      <c r="E86" s="364"/>
      <c r="F86" s="658"/>
      <c r="AMG86"/>
    </row>
    <row r="87" spans="1:1021" ht="15.75" customHeight="1" x14ac:dyDescent="0.2">
      <c r="A87" s="686" t="s">
        <v>471</v>
      </c>
      <c r="B87" s="407">
        <f>Insumos!G121</f>
        <v>6.11</v>
      </c>
      <c r="C87" s="364">
        <f>Insumos!G121</f>
        <v>6.11</v>
      </c>
      <c r="D87" s="364">
        <f>Insumos!F121</f>
        <v>6.11</v>
      </c>
      <c r="E87" s="364"/>
      <c r="F87" s="658"/>
      <c r="AMG87"/>
    </row>
    <row r="88" spans="1:1021" ht="15.75" customHeight="1" x14ac:dyDescent="0.2">
      <c r="A88" s="686" t="s">
        <v>472</v>
      </c>
      <c r="B88" s="367">
        <v>0.12</v>
      </c>
      <c r="C88" s="364"/>
      <c r="D88" s="364"/>
      <c r="E88" s="364">
        <f>B88*(E107+E108+E84)</f>
        <v>448.78382053333337</v>
      </c>
      <c r="F88" s="658"/>
      <c r="AMG88"/>
    </row>
    <row r="89" spans="1:1021" ht="15.75" customHeight="1" x14ac:dyDescent="0.2">
      <c r="A89" s="686" t="s">
        <v>473</v>
      </c>
      <c r="B89" s="407"/>
      <c r="C89" s="364"/>
      <c r="D89" s="364"/>
      <c r="E89" s="364"/>
      <c r="F89" s="658"/>
      <c r="AMG89"/>
    </row>
    <row r="90" spans="1:1021" ht="15.75" customHeight="1" x14ac:dyDescent="0.2">
      <c r="A90" s="686" t="s">
        <v>474</v>
      </c>
      <c r="B90" s="407"/>
      <c r="C90" s="364"/>
      <c r="D90" s="364"/>
      <c r="E90" s="364"/>
      <c r="F90" s="658"/>
      <c r="AMG90"/>
    </row>
    <row r="91" spans="1:1021" ht="15.75" customHeight="1" x14ac:dyDescent="0.2">
      <c r="A91" s="746" t="s">
        <v>423</v>
      </c>
      <c r="B91" s="747"/>
      <c r="C91" s="748">
        <f>SUM(C84:C90)</f>
        <v>585.83135333333325</v>
      </c>
      <c r="D91" s="748">
        <f>SUM(D84:D90)</f>
        <v>585.83135333333325</v>
      </c>
      <c r="E91" s="748">
        <f>SUM(E84:E90)</f>
        <v>482.25798720000006</v>
      </c>
      <c r="F91" s="749">
        <f>SUM(F84:F90)</f>
        <v>33.474166666666669</v>
      </c>
      <c r="AMG91"/>
    </row>
    <row r="92" spans="1:1021" ht="15.75" customHeight="1" x14ac:dyDescent="0.2">
      <c r="A92" s="750"/>
      <c r="B92" s="744"/>
      <c r="C92" s="745"/>
      <c r="D92" s="745"/>
      <c r="E92" s="745"/>
      <c r="F92" s="751"/>
      <c r="AMG92"/>
    </row>
    <row r="93" spans="1:1021" ht="15.75" customHeight="1" x14ac:dyDescent="0.2">
      <c r="A93" s="885" t="s">
        <v>475</v>
      </c>
      <c r="B93" s="886"/>
      <c r="C93" s="886"/>
      <c r="D93" s="886"/>
      <c r="E93" s="886"/>
      <c r="F93" s="887"/>
      <c r="AMG93"/>
    </row>
    <row r="94" spans="1:1021" ht="15.75" customHeight="1" x14ac:dyDescent="0.2">
      <c r="A94" s="655" t="s">
        <v>476</v>
      </c>
      <c r="B94" s="360" t="s">
        <v>415</v>
      </c>
      <c r="C94" s="360" t="s">
        <v>416</v>
      </c>
      <c r="D94" s="360" t="s">
        <v>416</v>
      </c>
      <c r="E94" s="360" t="s">
        <v>416</v>
      </c>
      <c r="F94" s="676" t="s">
        <v>416</v>
      </c>
      <c r="AMG94"/>
    </row>
    <row r="95" spans="1:1021" ht="15.75" customHeight="1" x14ac:dyDescent="0.2">
      <c r="A95" s="657" t="s">
        <v>73</v>
      </c>
      <c r="B95" s="367">
        <f>MC!C64</f>
        <v>0.06</v>
      </c>
      <c r="C95" s="383">
        <f>($C$19+$C$49+$C$60+$C$80+$C$91)*$B$95</f>
        <v>270.51480961892509</v>
      </c>
      <c r="D95" s="383">
        <f>($D$19+$D$49+$D$60+$D$80+$D$91)*$B$95</f>
        <v>229.46320138379744</v>
      </c>
      <c r="E95" s="383">
        <f>($E$19+$E$49+$E$60+$E$80+$E$91)*$B$95</f>
        <v>279.75092507568183</v>
      </c>
      <c r="F95" s="675">
        <f>($F$19+$F$49+$F$60+$F$80+$F$91)*$B$95</f>
        <v>303.69247749344038</v>
      </c>
      <c r="AMG95"/>
    </row>
    <row r="96" spans="1:1021" ht="15.75" customHeight="1" x14ac:dyDescent="0.2">
      <c r="A96" s="657" t="s">
        <v>74</v>
      </c>
      <c r="B96" s="367">
        <f>MC!C65</f>
        <v>6.7900000000000002E-2</v>
      </c>
      <c r="C96" s="383">
        <f>($C$19+$C$49+$C$60+$C$80+$C$91+C95)*B96</f>
        <v>324.50054845854197</v>
      </c>
      <c r="D96" s="383">
        <f>($D$19+$D$49+$D$60+$D$80+$D$91+$D$95)*$B$96</f>
        <v>275.25640760662395</v>
      </c>
      <c r="E96" s="383">
        <f>($E$19+$E$49+$E$60+$E$80+$E$91+$E$95)*$B$96</f>
        <v>335.57988468995211</v>
      </c>
      <c r="F96" s="675">
        <f>($F$19+$F$49+$F$60+$F$80+$F$91+$F$95)*$B$96</f>
        <v>364.29937291854799</v>
      </c>
      <c r="AMG96"/>
    </row>
    <row r="97" spans="1:1021" ht="15.75" customHeight="1" x14ac:dyDescent="0.2">
      <c r="A97" s="688" t="s">
        <v>480</v>
      </c>
      <c r="B97" s="414">
        <f>B98+B99</f>
        <v>0.1225</v>
      </c>
      <c r="C97" s="415">
        <f>((C19+C49+C60+C80+C91+C95+C96)/(1-($B$97)))*$B$97</f>
        <v>712.46775043091566</v>
      </c>
      <c r="D97" s="415">
        <f>((D19+D49+D60+D80+D91+D95+D96)/(1-($B$97)))*$B$97</f>
        <v>604.34817275583634</v>
      </c>
      <c r="E97" s="415">
        <f>((E19+E49+E60+E80+E91+E95+E96)/(1-($B$97)))*$B$97</f>
        <v>736.79334802561141</v>
      </c>
      <c r="F97" s="689">
        <f>((F19+F49+F60+F80+F91+F95+F96)/(1-($B$97)))*$B$97</f>
        <v>799.84935600141625</v>
      </c>
      <c r="AMG97"/>
    </row>
    <row r="98" spans="1:1021" ht="15.75" customHeight="1" x14ac:dyDescent="0.2">
      <c r="A98" s="657" t="s">
        <v>478</v>
      </c>
      <c r="B98" s="367">
        <f>0.0165+0.076</f>
        <v>9.2499999999999999E-2</v>
      </c>
      <c r="C98" s="416">
        <f>((C19+C49+C60+C80+C91+C95+C96)/(1-($B$97)))*$B$98</f>
        <v>537.98585236620158</v>
      </c>
      <c r="D98" s="416">
        <f>((D19+D49+D60+D80+D91+D95+D96)/(1-($B$97)))*$B$98</f>
        <v>456.34453861154986</v>
      </c>
      <c r="E98" s="416">
        <f>((E19+E49+E60+E80+E91+E95+E96)/(1-($B$97)))*$B$98</f>
        <v>556.35416075403305</v>
      </c>
      <c r="F98" s="690">
        <f>((F19+F49+F60+F80+F91+F95+F96)/(1-($B$97)))*$B$98</f>
        <v>603.96788106229394</v>
      </c>
      <c r="G98" s="418"/>
      <c r="AMG98"/>
    </row>
    <row r="99" spans="1:1021" ht="15.75" customHeight="1" x14ac:dyDescent="0.2">
      <c r="A99" s="778" t="s">
        <v>479</v>
      </c>
      <c r="B99" s="367">
        <v>0.03</v>
      </c>
      <c r="C99" s="417">
        <f>((C19+C49+C60+C80+C91+C95+C96)/(1-($B$97)))*$B$99</f>
        <v>174.48189806471402</v>
      </c>
      <c r="D99" s="417">
        <f>((D19+D49+D60+D80+D91+D95+D96)/(1-($B$97)))*$B$99</f>
        <v>148.00363414428645</v>
      </c>
      <c r="E99" s="417">
        <f>((E19+E49+E60+E80+E91+E95+E96)/(1-($B$97)))*$B$99</f>
        <v>180.43918727157831</v>
      </c>
      <c r="F99" s="691">
        <f>((F19+F49+F60+F80+F91+F95+F96)/(1-($B$97)))*$B$99</f>
        <v>195.88147493912234</v>
      </c>
      <c r="AMG99"/>
    </row>
    <row r="100" spans="1:1021" ht="15.75" customHeight="1" x14ac:dyDescent="0.2">
      <c r="A100" s="776"/>
      <c r="B100" s="777">
        <v>0.03</v>
      </c>
      <c r="C100" s="423">
        <f>C95+C96+C97</f>
        <v>1307.4831085083827</v>
      </c>
      <c r="D100" s="423">
        <f>D95+D96+D97</f>
        <v>1109.0677817462579</v>
      </c>
      <c r="E100" s="423">
        <f>E95+E96+E97</f>
        <v>1352.1241577912454</v>
      </c>
      <c r="F100" s="693">
        <f>F95+F96+F97</f>
        <v>1467.8412064134045</v>
      </c>
      <c r="AMG100"/>
    </row>
    <row r="101" spans="1:1021" ht="15.75" customHeight="1" x14ac:dyDescent="0.2">
      <c r="A101" s="779" t="s">
        <v>484</v>
      </c>
      <c r="B101" s="426"/>
      <c r="C101" s="427"/>
      <c r="D101" s="427"/>
      <c r="E101" s="427"/>
      <c r="F101" s="695"/>
      <c r="AMG101"/>
    </row>
    <row r="102" spans="1:1021" ht="15.75" customHeight="1" x14ac:dyDescent="0.2">
      <c r="A102" s="696"/>
      <c r="B102" s="430"/>
      <c r="C102" s="431"/>
      <c r="D102" s="431"/>
      <c r="E102" s="431"/>
      <c r="F102" s="697"/>
      <c r="AMG102"/>
    </row>
    <row r="103" spans="1:1021" ht="15.75" customHeight="1" x14ac:dyDescent="0.2">
      <c r="A103" s="888"/>
      <c r="B103" s="889"/>
      <c r="C103" s="889"/>
      <c r="D103" s="889"/>
      <c r="E103" s="889"/>
      <c r="F103" s="890"/>
      <c r="AMG103"/>
    </row>
    <row r="104" spans="1:1021" ht="15.75" customHeight="1" x14ac:dyDescent="0.2">
      <c r="A104" s="891"/>
      <c r="B104" s="892"/>
      <c r="C104" s="892"/>
      <c r="D104" s="892"/>
      <c r="E104" s="892"/>
      <c r="F104" s="893"/>
      <c r="AMG104"/>
    </row>
    <row r="105" spans="1:1021" ht="54.75" customHeight="1" x14ac:dyDescent="0.2">
      <c r="A105" s="876" t="s">
        <v>485</v>
      </c>
      <c r="B105" s="877"/>
      <c r="C105" s="433" t="str">
        <f>C10</f>
        <v xml:space="preserve">Servente 44h </v>
      </c>
      <c r="D105" s="433" t="str">
        <f>D10</f>
        <v>Servente 30h</v>
      </c>
      <c r="E105" s="698" t="str">
        <f>E10</f>
        <v>Servente 44h limpeza de esquadrias com risco</v>
      </c>
      <c r="F105" s="698" t="str">
        <f>F10</f>
        <v>Encarregado limpeza de esquadrias com risco</v>
      </c>
      <c r="AMG105"/>
    </row>
    <row r="106" spans="1:1021" ht="15.75" customHeight="1" x14ac:dyDescent="0.2">
      <c r="A106" s="899" t="s">
        <v>486</v>
      </c>
      <c r="B106" s="900"/>
      <c r="C106" s="435" t="s">
        <v>416</v>
      </c>
      <c r="D106" s="435" t="s">
        <v>416</v>
      </c>
      <c r="E106" s="699" t="s">
        <v>416</v>
      </c>
      <c r="F106" s="699" t="s">
        <v>416</v>
      </c>
      <c r="AMG106"/>
    </row>
    <row r="107" spans="1:1021" ht="14.25" customHeight="1" x14ac:dyDescent="0.2">
      <c r="A107" s="901" t="s">
        <v>487</v>
      </c>
      <c r="B107" s="902"/>
      <c r="C107" s="437">
        <f>C19</f>
        <v>1681.3920000000001</v>
      </c>
      <c r="D107" s="437">
        <f>D19</f>
        <v>1375.6843636363637</v>
      </c>
      <c r="E107" s="700">
        <f>E19</f>
        <v>1821.508</v>
      </c>
      <c r="F107" s="700">
        <f>F19</f>
        <v>2299.62</v>
      </c>
      <c r="AMG107"/>
    </row>
    <row r="108" spans="1:1021" ht="14.25" customHeight="1" x14ac:dyDescent="0.2">
      <c r="A108" s="903" t="s">
        <v>488</v>
      </c>
      <c r="B108" s="904"/>
      <c r="C108" s="439">
        <f>C49</f>
        <v>1802.2227733333334</v>
      </c>
      <c r="D108" s="439">
        <f>D49</f>
        <v>1504.8113599999999</v>
      </c>
      <c r="E108" s="701">
        <f>E49</f>
        <v>1884.8830044444444</v>
      </c>
      <c r="F108" s="701">
        <f>F49</f>
        <v>2136.0617333333334</v>
      </c>
      <c r="AMG108"/>
    </row>
    <row r="109" spans="1:1021" ht="14.25" customHeight="1" x14ac:dyDescent="0.2">
      <c r="A109" s="903" t="s">
        <v>489</v>
      </c>
      <c r="B109" s="904"/>
      <c r="C109" s="439">
        <f>C60</f>
        <v>110.13117599999998</v>
      </c>
      <c r="D109" s="439">
        <f>D60</f>
        <v>90.107325818181806</v>
      </c>
      <c r="E109" s="701">
        <f>E60</f>
        <v>119.30877399999999</v>
      </c>
      <c r="F109" s="701">
        <f>F60</f>
        <v>150.62510999999998</v>
      </c>
      <c r="AMG109"/>
    </row>
    <row r="110" spans="1:1021" ht="14.25" customHeight="1" x14ac:dyDescent="0.2">
      <c r="A110" s="903" t="s">
        <v>490</v>
      </c>
      <c r="B110" s="904"/>
      <c r="C110" s="439">
        <f>C80</f>
        <v>329.00285764875184</v>
      </c>
      <c r="D110" s="439">
        <f>D80</f>
        <v>267.95228694207935</v>
      </c>
      <c r="E110" s="701">
        <f>E80</f>
        <v>354.55765228358604</v>
      </c>
      <c r="F110" s="701">
        <f>F80</f>
        <v>441.76028155733991</v>
      </c>
      <c r="AMG110"/>
    </row>
    <row r="111" spans="1:1021" ht="15.75" customHeight="1" x14ac:dyDescent="0.2">
      <c r="A111" s="903" t="s">
        <v>491</v>
      </c>
      <c r="B111" s="904"/>
      <c r="C111" s="439">
        <f>C91</f>
        <v>585.83135333333325</v>
      </c>
      <c r="D111" s="439">
        <f>D91</f>
        <v>585.83135333333325</v>
      </c>
      <c r="E111" s="701">
        <f>E91</f>
        <v>482.25798720000006</v>
      </c>
      <c r="F111" s="701">
        <f>F91</f>
        <v>33.474166666666669</v>
      </c>
      <c r="AMG111"/>
    </row>
    <row r="112" spans="1:1021" ht="15.75" customHeight="1" x14ac:dyDescent="0.2">
      <c r="A112" s="908" t="s">
        <v>492</v>
      </c>
      <c r="B112" s="909"/>
      <c r="C112" s="443">
        <f>SUM(C107:C111)</f>
        <v>4508.5801603154187</v>
      </c>
      <c r="D112" s="443">
        <f>SUM(D107:D111)</f>
        <v>3824.3866897299577</v>
      </c>
      <c r="E112" s="703">
        <f>SUM(E107:E111)</f>
        <v>4662.5154179280307</v>
      </c>
      <c r="F112" s="702">
        <f>SUM(F107:F111)</f>
        <v>5061.5412915573397</v>
      </c>
      <c r="AMG112"/>
    </row>
    <row r="113" spans="1:1021" ht="15.75" customHeight="1" x14ac:dyDescent="0.2">
      <c r="A113" s="905" t="s">
        <v>494</v>
      </c>
      <c r="B113" s="923"/>
      <c r="C113" s="764">
        <f>C100</f>
        <v>1307.4831085083827</v>
      </c>
      <c r="D113" s="764">
        <f>D100</f>
        <v>1109.0677817462579</v>
      </c>
      <c r="E113" s="764">
        <f>E100</f>
        <v>1352.1241577912454</v>
      </c>
      <c r="F113" s="768">
        <f>F100</f>
        <v>1467.8412064134045</v>
      </c>
      <c r="AMG113"/>
    </row>
    <row r="114" spans="1:1021" ht="15.75" customHeight="1" x14ac:dyDescent="0.2">
      <c r="A114" s="769" t="s">
        <v>498</v>
      </c>
      <c r="B114" s="765"/>
      <c r="C114" s="766">
        <f>C112+C113</f>
        <v>5816.0632688238011</v>
      </c>
      <c r="D114" s="766">
        <f>D112+D113</f>
        <v>4933.454471476216</v>
      </c>
      <c r="E114" s="766">
        <f>E112+E113</f>
        <v>6014.6395757192759</v>
      </c>
      <c r="F114" s="770">
        <f>F112+F113</f>
        <v>6529.3824979707442</v>
      </c>
      <c r="AMG114"/>
    </row>
    <row r="115" spans="1:1021" ht="15.75" customHeight="1" x14ac:dyDescent="0.2">
      <c r="A115" s="771" t="s">
        <v>502</v>
      </c>
      <c r="B115" s="772"/>
      <c r="C115" s="773">
        <f>C114/220</f>
        <v>26.436651221926368</v>
      </c>
      <c r="D115" s="773"/>
      <c r="E115" s="774"/>
      <c r="F115" s="775"/>
      <c r="AMG115"/>
    </row>
    <row r="116" spans="1:1021" x14ac:dyDescent="0.2">
      <c r="A116" s="464"/>
    </row>
    <row r="117" spans="1:1021" ht="14.25" customHeight="1" x14ac:dyDescent="0.2">
      <c r="A117" s="907" t="s">
        <v>505</v>
      </c>
      <c r="B117" s="907"/>
      <c r="C117" s="907" t="s">
        <v>507</v>
      </c>
      <c r="D117" s="907"/>
      <c r="ALZ117"/>
      <c r="AMA117"/>
      <c r="AMB117"/>
      <c r="AMC117"/>
      <c r="AMD117"/>
      <c r="AME117"/>
      <c r="AMF117"/>
      <c r="AMG117"/>
    </row>
    <row r="118" spans="1:1021" ht="38.25" x14ac:dyDescent="0.2">
      <c r="A118" s="465" t="s">
        <v>510</v>
      </c>
      <c r="B118" s="466" t="s">
        <v>511</v>
      </c>
      <c r="C118" s="466" t="s">
        <v>512</v>
      </c>
      <c r="D118" s="466" t="s">
        <v>513</v>
      </c>
      <c r="ALZ118"/>
      <c r="AMA118"/>
      <c r="AMB118"/>
      <c r="AMC118"/>
      <c r="AMD118"/>
      <c r="AME118"/>
      <c r="AMF118"/>
      <c r="AMG118"/>
    </row>
    <row r="119" spans="1:1021" x14ac:dyDescent="0.2">
      <c r="A119" s="467" t="s">
        <v>514</v>
      </c>
      <c r="B119" s="468">
        <f>1/'Prod. GEXCHA'!C22</f>
        <v>1.1111111111111111E-3</v>
      </c>
      <c r="C119" s="469">
        <f>C114</f>
        <v>5816.0632688238011</v>
      </c>
      <c r="D119" s="469">
        <f>B119*C119</f>
        <v>6.4622925209153346</v>
      </c>
      <c r="ALZ119"/>
      <c r="AMA119"/>
      <c r="AMB119"/>
      <c r="AMC119"/>
      <c r="AMD119"/>
      <c r="AME119"/>
      <c r="AMF119"/>
      <c r="AMG119"/>
    </row>
    <row r="120" spans="1:1021" x14ac:dyDescent="0.2">
      <c r="A120" s="470" t="s">
        <v>515</v>
      </c>
      <c r="B120" s="471"/>
      <c r="C120" s="472"/>
      <c r="D120" s="472">
        <f>SUM(D119:D119)</f>
        <v>6.4622925209153346</v>
      </c>
      <c r="E120" s="473"/>
      <c r="F120" s="474"/>
      <c r="ALZ120"/>
      <c r="AMA120"/>
      <c r="AMB120"/>
      <c r="AMC120"/>
      <c r="AMD120"/>
      <c r="AME120"/>
      <c r="AMF120"/>
      <c r="AMG120"/>
    </row>
    <row r="121" spans="1:1021" x14ac:dyDescent="0.2">
      <c r="A121" s="475"/>
      <c r="B121" s="476"/>
      <c r="ALZ121"/>
      <c r="AMA121"/>
      <c r="AMB121"/>
      <c r="AMC121"/>
      <c r="AMD121"/>
      <c r="AME121"/>
      <c r="AMF121"/>
      <c r="AMG121"/>
    </row>
    <row r="122" spans="1:1021" ht="14.25" customHeight="1" x14ac:dyDescent="0.2">
      <c r="A122" s="910" t="s">
        <v>516</v>
      </c>
      <c r="B122" s="910"/>
      <c r="C122" s="910" t="s">
        <v>507</v>
      </c>
      <c r="D122" s="910"/>
      <c r="ALZ122"/>
      <c r="AMA122"/>
      <c r="AMB122"/>
      <c r="AMC122"/>
      <c r="AMD122"/>
      <c r="AME122"/>
      <c r="AMF122"/>
      <c r="AMG122"/>
    </row>
    <row r="123" spans="1:1021" ht="38.25" x14ac:dyDescent="0.2">
      <c r="A123" s="465" t="s">
        <v>510</v>
      </c>
      <c r="B123" s="466" t="s">
        <v>517</v>
      </c>
      <c r="C123" s="466" t="s">
        <v>512</v>
      </c>
      <c r="D123" s="466" t="s">
        <v>513</v>
      </c>
      <c r="ALZ123"/>
      <c r="AMA123"/>
      <c r="AMB123"/>
      <c r="AMC123"/>
      <c r="AMD123"/>
      <c r="AME123"/>
      <c r="AMF123"/>
      <c r="AMG123"/>
    </row>
    <row r="124" spans="1:1021" x14ac:dyDescent="0.2">
      <c r="A124" s="467" t="s">
        <v>514</v>
      </c>
      <c r="B124" s="478">
        <f>1/'Prod. GEXCHA'!D22</f>
        <v>5.0000000000000001E-4</v>
      </c>
      <c r="C124" s="469">
        <f>C114</f>
        <v>5816.0632688238011</v>
      </c>
      <c r="D124" s="469">
        <f>B124*C124</f>
        <v>2.9080316344119006</v>
      </c>
      <c r="ALZ124"/>
      <c r="AMA124"/>
      <c r="AMB124"/>
      <c r="AMC124"/>
      <c r="AMD124"/>
      <c r="AME124"/>
      <c r="AMF124"/>
      <c r="AMG124"/>
    </row>
    <row r="125" spans="1:1021" x14ac:dyDescent="0.2">
      <c r="A125" s="470" t="s">
        <v>518</v>
      </c>
      <c r="B125" s="471"/>
      <c r="C125" s="472"/>
      <c r="D125" s="472">
        <f>SUM(D124:D124)</f>
        <v>2.9080316344119006</v>
      </c>
      <c r="ALZ125"/>
      <c r="AMA125"/>
      <c r="AMB125"/>
      <c r="AMC125"/>
      <c r="AMD125"/>
      <c r="AME125"/>
      <c r="AMF125"/>
      <c r="AMG125"/>
    </row>
    <row r="126" spans="1:1021" x14ac:dyDescent="0.2">
      <c r="A126" s="475"/>
      <c r="B126" s="480"/>
      <c r="ALZ126"/>
      <c r="AMA126"/>
      <c r="AMB126"/>
      <c r="AMC126"/>
      <c r="AMD126"/>
      <c r="AME126"/>
      <c r="AMF126"/>
      <c r="AMG126"/>
    </row>
    <row r="127" spans="1:1021" ht="14.25" customHeight="1" x14ac:dyDescent="0.2">
      <c r="A127" s="910" t="s">
        <v>519</v>
      </c>
      <c r="B127" s="910"/>
      <c r="C127" s="910" t="s">
        <v>507</v>
      </c>
      <c r="D127" s="910"/>
      <c r="ALZ127"/>
      <c r="AMA127"/>
      <c r="AMB127"/>
      <c r="AMC127"/>
      <c r="AMD127"/>
      <c r="AME127"/>
      <c r="AMF127"/>
      <c r="AMG127"/>
    </row>
    <row r="128" spans="1:1021" ht="38.25" x14ac:dyDescent="0.2">
      <c r="A128" s="465" t="s">
        <v>510</v>
      </c>
      <c r="B128" s="466" t="s">
        <v>517</v>
      </c>
      <c r="C128" s="466" t="s">
        <v>512</v>
      </c>
      <c r="D128" s="466" t="s">
        <v>513</v>
      </c>
      <c r="ALZ128"/>
      <c r="AMA128"/>
      <c r="AMB128"/>
      <c r="AMC128"/>
      <c r="AMD128"/>
      <c r="AME128"/>
      <c r="AMF128"/>
      <c r="AMG128"/>
    </row>
    <row r="129" spans="1:1021" x14ac:dyDescent="0.2">
      <c r="A129" s="467" t="s">
        <v>514</v>
      </c>
      <c r="B129" s="478">
        <f>1/'Prod. GEXCHA'!E22</f>
        <v>7.6923076923076923E-4</v>
      </c>
      <c r="C129" s="469">
        <f>C114</f>
        <v>5816.0632688238011</v>
      </c>
      <c r="D129" s="469">
        <f>B129*C129</f>
        <v>4.4738948221721548</v>
      </c>
      <c r="ALZ129"/>
      <c r="AMA129"/>
      <c r="AMB129"/>
      <c r="AMC129"/>
      <c r="AMD129"/>
      <c r="AME129"/>
      <c r="AMF129"/>
      <c r="AMG129"/>
    </row>
    <row r="130" spans="1:1021" x14ac:dyDescent="0.2">
      <c r="A130" s="470" t="s">
        <v>518</v>
      </c>
      <c r="B130" s="471"/>
      <c r="C130" s="472"/>
      <c r="D130" s="472">
        <f>SUM(D129:D129)</f>
        <v>4.4738948221721548</v>
      </c>
      <c r="ALZ130"/>
      <c r="AMA130"/>
      <c r="AMB130"/>
      <c r="AMC130"/>
      <c r="AMD130"/>
      <c r="AME130"/>
      <c r="AMF130"/>
      <c r="AMG130"/>
    </row>
    <row r="131" spans="1:1021" x14ac:dyDescent="0.2">
      <c r="A131" s="475"/>
      <c r="B131" s="480"/>
      <c r="ALZ131"/>
      <c r="AMA131"/>
      <c r="AMB131"/>
      <c r="AMC131"/>
      <c r="AMD131"/>
      <c r="AME131"/>
      <c r="AMF131"/>
      <c r="AMG131"/>
    </row>
    <row r="132" spans="1:1021" ht="14.25" customHeight="1" x14ac:dyDescent="0.2">
      <c r="A132" s="910" t="s">
        <v>520</v>
      </c>
      <c r="B132" s="910"/>
      <c r="C132" s="910" t="s">
        <v>507</v>
      </c>
      <c r="D132" s="910"/>
      <c r="ALZ132"/>
      <c r="AMA132"/>
      <c r="AMB132"/>
      <c r="AMC132"/>
      <c r="AMD132"/>
      <c r="AME132"/>
      <c r="AMF132"/>
      <c r="AMG132"/>
    </row>
    <row r="133" spans="1:1021" ht="38.25" x14ac:dyDescent="0.2">
      <c r="A133" s="465" t="s">
        <v>510</v>
      </c>
      <c r="B133" s="466" t="s">
        <v>517</v>
      </c>
      <c r="C133" s="466" t="s">
        <v>512</v>
      </c>
      <c r="D133" s="466" t="s">
        <v>513</v>
      </c>
      <c r="ALZ133"/>
      <c r="AMA133"/>
      <c r="AMB133"/>
      <c r="AMC133"/>
      <c r="AMD133"/>
      <c r="AME133"/>
      <c r="AMF133"/>
      <c r="AMG133"/>
    </row>
    <row r="134" spans="1:1021" x14ac:dyDescent="0.2">
      <c r="A134" s="467" t="s">
        <v>514</v>
      </c>
      <c r="B134" s="478">
        <f>1/'Prod. GEXCHA'!F22</f>
        <v>3.3333333333333335E-3</v>
      </c>
      <c r="C134" s="469">
        <f>C114</f>
        <v>5816.0632688238011</v>
      </c>
      <c r="D134" s="469">
        <f>B134*C134</f>
        <v>19.386877562746005</v>
      </c>
      <c r="ALZ134"/>
      <c r="AMA134"/>
      <c r="AMB134"/>
      <c r="AMC134"/>
      <c r="AMD134"/>
      <c r="AME134"/>
      <c r="AMF134"/>
      <c r="AMG134"/>
    </row>
    <row r="135" spans="1:1021" x14ac:dyDescent="0.2">
      <c r="A135" s="470" t="s">
        <v>518</v>
      </c>
      <c r="B135" s="471"/>
      <c r="C135" s="472"/>
      <c r="D135" s="472">
        <f>SUM(D134:D134)</f>
        <v>19.386877562746005</v>
      </c>
      <c r="ALZ135"/>
      <c r="AMA135"/>
      <c r="AMB135"/>
      <c r="AMC135"/>
      <c r="AMD135"/>
      <c r="AME135"/>
      <c r="AMF135"/>
      <c r="AMG135"/>
    </row>
    <row r="136" spans="1:1021" x14ac:dyDescent="0.2">
      <c r="A136" s="475"/>
      <c r="B136" s="481"/>
      <c r="ALZ136"/>
      <c r="AMA136"/>
      <c r="AMB136"/>
      <c r="AMC136"/>
      <c r="AMD136"/>
      <c r="AME136"/>
      <c r="AMF136"/>
      <c r="AMG136"/>
    </row>
    <row r="137" spans="1:1021" ht="14.25" customHeight="1" x14ac:dyDescent="0.2">
      <c r="A137" s="911" t="s">
        <v>521</v>
      </c>
      <c r="B137" s="911"/>
      <c r="C137" s="911" t="s">
        <v>507</v>
      </c>
      <c r="D137" s="911"/>
      <c r="ALZ137"/>
      <c r="AMA137"/>
      <c r="AMB137"/>
      <c r="AMC137"/>
      <c r="AMD137"/>
      <c r="AME137"/>
      <c r="AMF137"/>
      <c r="AMG137"/>
    </row>
    <row r="138" spans="1:1021" ht="38.25" x14ac:dyDescent="0.2">
      <c r="A138" s="465" t="s">
        <v>510</v>
      </c>
      <c r="B138" s="466" t="s">
        <v>517</v>
      </c>
      <c r="C138" s="466" t="s">
        <v>512</v>
      </c>
      <c r="D138" s="466" t="s">
        <v>513</v>
      </c>
      <c r="ALZ138"/>
      <c r="AMA138"/>
      <c r="AMB138"/>
      <c r="AMC138"/>
      <c r="AMD138"/>
      <c r="AME138"/>
      <c r="AMF138"/>
      <c r="AMG138"/>
    </row>
    <row r="139" spans="1:1021" x14ac:dyDescent="0.2">
      <c r="A139" s="467" t="s">
        <v>522</v>
      </c>
      <c r="B139" s="478">
        <f>1/'Prod. GEXCHA'!G22</f>
        <v>3.7037037037037035E-4</v>
      </c>
      <c r="C139" s="469">
        <f>C114</f>
        <v>5816.0632688238011</v>
      </c>
      <c r="D139" s="469">
        <f>B139*C139</f>
        <v>2.154097506971778</v>
      </c>
      <c r="ALZ139"/>
      <c r="AMA139"/>
      <c r="AMB139"/>
      <c r="AMC139"/>
      <c r="AMD139"/>
      <c r="AME139"/>
      <c r="AMF139"/>
      <c r="AMG139"/>
    </row>
    <row r="140" spans="1:1021" x14ac:dyDescent="0.2">
      <c r="A140" s="482" t="s">
        <v>523</v>
      </c>
      <c r="B140" s="483"/>
      <c r="C140" s="484"/>
      <c r="D140" s="485">
        <f>SUM(D139:D139)</f>
        <v>2.154097506971778</v>
      </c>
      <c r="E140" s="473"/>
      <c r="F140" s="474"/>
      <c r="ALZ140"/>
      <c r="AMA140"/>
      <c r="AMB140"/>
      <c r="AMC140"/>
      <c r="AMD140"/>
      <c r="AME140"/>
      <c r="AMF140"/>
      <c r="AMG140"/>
    </row>
    <row r="141" spans="1:1021" x14ac:dyDescent="0.2">
      <c r="A141" s="467" t="s">
        <v>524</v>
      </c>
      <c r="B141" s="478">
        <f>1/'Prod. GEXCHA'!H22</f>
        <v>1.0000000000000001E-5</v>
      </c>
      <c r="C141" s="469">
        <f>C114</f>
        <v>5816.0632688238011</v>
      </c>
      <c r="D141" s="469">
        <f>B141*C141</f>
        <v>5.8160632688238019E-2</v>
      </c>
      <c r="ALZ141"/>
      <c r="AMA141"/>
      <c r="AMB141"/>
      <c r="AMC141"/>
      <c r="AMD141"/>
      <c r="AME141"/>
      <c r="AMF141"/>
      <c r="AMG141"/>
    </row>
    <row r="142" spans="1:1021" x14ac:dyDescent="0.2">
      <c r="A142" s="482" t="s">
        <v>525</v>
      </c>
      <c r="B142" s="486"/>
      <c r="C142" s="484"/>
      <c r="D142" s="485">
        <f>SUM(D141:D141)</f>
        <v>5.8160632688238019E-2</v>
      </c>
      <c r="ALZ142"/>
      <c r="AMA142"/>
      <c r="AMB142"/>
      <c r="AMC142"/>
      <c r="AMD142"/>
      <c r="AME142"/>
      <c r="AMF142"/>
      <c r="AMG142"/>
    </row>
    <row r="143" spans="1:1021" x14ac:dyDescent="0.2">
      <c r="A143" s="467" t="s">
        <v>526</v>
      </c>
      <c r="B143" s="478">
        <f>1/'Prod. GEXCHA'!I22</f>
        <v>1.1111111111111112E-4</v>
      </c>
      <c r="C143" s="469">
        <f>C114</f>
        <v>5816.0632688238011</v>
      </c>
      <c r="D143" s="469">
        <f>B143*C143</f>
        <v>0.64622925209153348</v>
      </c>
      <c r="ALZ143"/>
      <c r="AMA143"/>
      <c r="AMB143"/>
      <c r="AMC143"/>
      <c r="AMD143"/>
      <c r="AME143"/>
      <c r="AMF143"/>
      <c r="AMG143"/>
    </row>
    <row r="144" spans="1:1021" x14ac:dyDescent="0.2">
      <c r="A144" s="482" t="s">
        <v>527</v>
      </c>
      <c r="B144" s="486"/>
      <c r="C144" s="484"/>
      <c r="D144" s="485">
        <f>SUM(D143:D143)</f>
        <v>0.64622925209153348</v>
      </c>
      <c r="ALZ144"/>
      <c r="AMA144"/>
      <c r="AMB144"/>
      <c r="AMC144"/>
      <c r="AMD144"/>
      <c r="AME144"/>
      <c r="AMF144"/>
      <c r="AMG144"/>
    </row>
    <row r="145" spans="1:1021" x14ac:dyDescent="0.2">
      <c r="A145" s="475"/>
      <c r="B145" s="480"/>
      <c r="ALZ145"/>
      <c r="AMA145"/>
      <c r="AMB145"/>
      <c r="AMC145"/>
      <c r="AMD145"/>
      <c r="AME145"/>
      <c r="AMF145"/>
      <c r="AMG145"/>
    </row>
    <row r="146" spans="1:1021" ht="14.25" customHeight="1" x14ac:dyDescent="0.2">
      <c r="A146" s="912" t="s">
        <v>528</v>
      </c>
      <c r="B146" s="912"/>
      <c r="C146" s="912" t="s">
        <v>507</v>
      </c>
      <c r="D146" s="912"/>
      <c r="ALZ146"/>
      <c r="AMA146"/>
      <c r="AMB146"/>
      <c r="AMC146"/>
      <c r="AMD146"/>
      <c r="AME146"/>
      <c r="AMF146"/>
      <c r="AMG146"/>
    </row>
    <row r="147" spans="1:1021" ht="38.25" x14ac:dyDescent="0.2">
      <c r="A147" s="465" t="s">
        <v>510</v>
      </c>
      <c r="B147" s="466" t="s">
        <v>517</v>
      </c>
      <c r="C147" s="466" t="s">
        <v>512</v>
      </c>
      <c r="D147" s="466" t="s">
        <v>513</v>
      </c>
      <c r="ALZ147"/>
      <c r="AMA147"/>
      <c r="AMB147"/>
      <c r="AMC147"/>
      <c r="AMD147"/>
      <c r="AME147"/>
      <c r="AMF147"/>
      <c r="AMG147"/>
    </row>
    <row r="148" spans="1:1021" x14ac:dyDescent="0.2">
      <c r="A148" s="487" t="s">
        <v>529</v>
      </c>
      <c r="B148" s="478">
        <f>(1/'Prod. GEXCHA'!J22)*(1/(30/7*44*6))*8</f>
        <v>4.4191919191919199E-5</v>
      </c>
      <c r="C148" s="469">
        <f>E114</f>
        <v>6014.6395757192759</v>
      </c>
      <c r="D148" s="469">
        <f>B148*C148</f>
        <v>0.26579846609870539</v>
      </c>
      <c r="ALZ148"/>
      <c r="AMA148"/>
      <c r="AMB148"/>
      <c r="AMC148"/>
      <c r="AMD148"/>
      <c r="AME148"/>
      <c r="AMF148"/>
      <c r="AMG148"/>
    </row>
    <row r="149" spans="1:1021" x14ac:dyDescent="0.2">
      <c r="A149" s="487" t="s">
        <v>530</v>
      </c>
      <c r="B149" s="478">
        <f>B148/4</f>
        <v>1.10479797979798E-5</v>
      </c>
      <c r="C149" s="469">
        <f>F114</f>
        <v>6529.3824979707442</v>
      </c>
      <c r="D149" s="469">
        <f>B149*C149</f>
        <v>7.2136485930863664E-2</v>
      </c>
      <c r="ALZ149"/>
      <c r="AMA149"/>
      <c r="AMB149"/>
      <c r="AMC149"/>
      <c r="AMD149"/>
      <c r="AME149"/>
      <c r="AMF149"/>
      <c r="AMG149"/>
    </row>
    <row r="150" spans="1:1021" x14ac:dyDescent="0.2">
      <c r="A150" s="488" t="s">
        <v>531</v>
      </c>
      <c r="B150" s="489"/>
      <c r="C150" s="490"/>
      <c r="D150" s="491">
        <f>SUM(D148:D149)</f>
        <v>0.33793495202956902</v>
      </c>
      <c r="E150" s="473"/>
      <c r="F150" s="474"/>
      <c r="ALZ150"/>
      <c r="AMA150"/>
      <c r="AMB150"/>
      <c r="AMC150"/>
      <c r="AMD150"/>
      <c r="AME150"/>
      <c r="AMF150"/>
      <c r="AMG150"/>
    </row>
    <row r="151" spans="1:1021" x14ac:dyDescent="0.2">
      <c r="A151" s="487" t="s">
        <v>532</v>
      </c>
      <c r="B151" s="478">
        <f>1/'Prod. GEXCHA'!K22*16*(1/188.76)</f>
        <v>2.2306242401936183E-4</v>
      </c>
      <c r="C151" s="469">
        <f>C114</f>
        <v>5816.0632688238011</v>
      </c>
      <c r="D151" s="469">
        <f>B151*C151</f>
        <v>1.2973451709938104</v>
      </c>
      <c r="ALZ151"/>
      <c r="AMA151"/>
      <c r="AMB151"/>
      <c r="AMC151"/>
      <c r="AMD151"/>
      <c r="AME151"/>
      <c r="AMF151"/>
      <c r="AMG151"/>
    </row>
    <row r="152" spans="1:1021" x14ac:dyDescent="0.2">
      <c r="A152" s="488" t="s">
        <v>533</v>
      </c>
      <c r="B152" s="489"/>
      <c r="C152" s="490"/>
      <c r="D152" s="491">
        <f>SUM(D151:D151)</f>
        <v>1.2973451709938104</v>
      </c>
      <c r="E152" s="473"/>
      <c r="F152" s="474"/>
      <c r="ALZ152"/>
      <c r="AMA152"/>
      <c r="AMB152"/>
      <c r="AMC152"/>
      <c r="AMD152"/>
      <c r="AME152"/>
      <c r="AMF152"/>
      <c r="AMG152"/>
    </row>
    <row r="153" spans="1:1021" x14ac:dyDescent="0.2">
      <c r="A153" s="467" t="s">
        <v>534</v>
      </c>
      <c r="B153" s="478">
        <f>1/'Prod. GEXCHA'!L22*16*(1/188.76)</f>
        <v>2.2306242401936183E-4</v>
      </c>
      <c r="C153" s="469">
        <f>C114</f>
        <v>5816.0632688238011</v>
      </c>
      <c r="D153" s="469">
        <f>B153*C153</f>
        <v>1.2973451709938104</v>
      </c>
      <c r="ALZ153"/>
      <c r="AMA153"/>
      <c r="AMB153"/>
      <c r="AMC153"/>
      <c r="AMD153"/>
      <c r="AME153"/>
      <c r="AMF153"/>
      <c r="AMG153"/>
    </row>
    <row r="154" spans="1:1021" x14ac:dyDescent="0.2">
      <c r="A154" s="488" t="s">
        <v>535</v>
      </c>
      <c r="B154" s="489"/>
      <c r="C154" s="490"/>
      <c r="D154" s="491">
        <f>SUM(D153:D153)</f>
        <v>1.2973451709938104</v>
      </c>
      <c r="E154" s="473"/>
      <c r="F154" s="474"/>
      <c r="ALZ154"/>
      <c r="AMA154"/>
      <c r="AMB154"/>
      <c r="AMC154"/>
      <c r="AMD154"/>
      <c r="AME154"/>
      <c r="AMF154"/>
      <c r="AMG154"/>
    </row>
    <row r="155" spans="1:1021" x14ac:dyDescent="0.2">
      <c r="A155" s="464"/>
    </row>
  </sheetData>
  <mergeCells count="35">
    <mergeCell ref="A21:F21"/>
    <mergeCell ref="A51:F51"/>
    <mergeCell ref="A62:F62"/>
    <mergeCell ref="A106:B106"/>
    <mergeCell ref="A50:B50"/>
    <mergeCell ref="A61:B61"/>
    <mergeCell ref="A105:B105"/>
    <mergeCell ref="A82:F82"/>
    <mergeCell ref="A93:F93"/>
    <mergeCell ref="A103:F103"/>
    <mergeCell ref="A104:F104"/>
    <mergeCell ref="A20:B20"/>
    <mergeCell ref="A1:F1"/>
    <mergeCell ref="A2:F2"/>
    <mergeCell ref="A3:F3"/>
    <mergeCell ref="A11:F11"/>
    <mergeCell ref="A110:B110"/>
    <mergeCell ref="A111:B111"/>
    <mergeCell ref="A107:B107"/>
    <mergeCell ref="A108:B108"/>
    <mergeCell ref="A109:B109"/>
    <mergeCell ref="A146:B146"/>
    <mergeCell ref="C146:D146"/>
    <mergeCell ref="C132:D132"/>
    <mergeCell ref="A112:B112"/>
    <mergeCell ref="A113:B113"/>
    <mergeCell ref="A132:B132"/>
    <mergeCell ref="A137:B137"/>
    <mergeCell ref="C137:D137"/>
    <mergeCell ref="C117:D117"/>
    <mergeCell ref="A127:B127"/>
    <mergeCell ref="C127:D127"/>
    <mergeCell ref="A122:B122"/>
    <mergeCell ref="C122:D122"/>
    <mergeCell ref="A117:B1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E137"/>
  <sheetViews>
    <sheetView zoomScale="80" zoomScaleNormal="80" workbookViewId="0">
      <selection activeCell="A14" sqref="A14"/>
    </sheetView>
  </sheetViews>
  <sheetFormatPr defaultRowHeight="14.25" x14ac:dyDescent="0.2"/>
  <cols>
    <col min="1" max="1" width="55.5" style="332" customWidth="1"/>
    <col min="2" max="2" width="17" style="332" customWidth="1"/>
    <col min="3" max="3" width="15.25" style="332" customWidth="1"/>
    <col min="4" max="4" width="16.25" style="332" customWidth="1"/>
    <col min="5" max="1019" width="9" style="332" customWidth="1"/>
    <col min="1020" max="1025" width="8.375" customWidth="1"/>
  </cols>
  <sheetData>
    <row r="1" spans="1:4" ht="15.75" x14ac:dyDescent="0.2">
      <c r="A1" s="913" t="s">
        <v>399</v>
      </c>
      <c r="B1" s="913"/>
      <c r="C1" s="913"/>
      <c r="D1" s="913"/>
    </row>
    <row r="2" spans="1:4" ht="15.75" x14ac:dyDescent="0.2">
      <c r="A2" s="914" t="s">
        <v>400</v>
      </c>
      <c r="B2" s="914"/>
      <c r="C2" s="914"/>
      <c r="D2" s="914"/>
    </row>
    <row r="3" spans="1:4" ht="15.75" customHeight="1" x14ac:dyDescent="0.2">
      <c r="A3" s="914" t="str">
        <f ca="1">'GEXCHA Limp.Ord. '!A3</f>
        <v>PROCESSO 35014.173954/2023-61</v>
      </c>
      <c r="B3" s="914"/>
      <c r="C3" s="914"/>
      <c r="D3" s="914"/>
    </row>
    <row r="4" spans="1:4" ht="15.75" x14ac:dyDescent="0.2">
      <c r="A4" s="339"/>
      <c r="B4" s="340"/>
      <c r="C4" s="492" t="s">
        <v>536</v>
      </c>
      <c r="D4" s="343" t="s">
        <v>402</v>
      </c>
    </row>
    <row r="5" spans="1:4" x14ac:dyDescent="0.2">
      <c r="A5" s="344"/>
      <c r="B5" s="345" t="s">
        <v>405</v>
      </c>
      <c r="C5" s="493">
        <f>MC!G12</f>
        <v>1401.16</v>
      </c>
      <c r="D5" s="348">
        <f>MC!I12</f>
        <v>1146.4036363636365</v>
      </c>
    </row>
    <row r="6" spans="1:4" x14ac:dyDescent="0.2">
      <c r="A6" s="344"/>
      <c r="B6" s="345" t="s">
        <v>406</v>
      </c>
      <c r="C6" s="494">
        <f>MC!H8</f>
        <v>44927</v>
      </c>
      <c r="D6" s="351">
        <f>C6</f>
        <v>44927</v>
      </c>
    </row>
    <row r="7" spans="1:4" x14ac:dyDescent="0.2">
      <c r="A7" s="344"/>
      <c r="B7" s="345" t="s">
        <v>407</v>
      </c>
      <c r="C7" s="494" t="str">
        <f>MC!G8</f>
        <v xml:space="preserve"> SC000078/2023</v>
      </c>
      <c r="D7" s="351" t="str">
        <f>C7</f>
        <v xml:space="preserve"> SC000078/2023</v>
      </c>
    </row>
    <row r="8" spans="1:4" x14ac:dyDescent="0.2">
      <c r="A8" s="344"/>
      <c r="B8" s="345" t="s">
        <v>408</v>
      </c>
      <c r="C8" s="495" t="str">
        <f>MC!E8</f>
        <v>5143-20</v>
      </c>
      <c r="D8" s="354" t="str">
        <f>MC!E8</f>
        <v>5143-20</v>
      </c>
    </row>
    <row r="9" spans="1:4" x14ac:dyDescent="0.2">
      <c r="A9" s="915"/>
      <c r="B9" s="915"/>
      <c r="C9" s="915"/>
      <c r="D9" s="915"/>
    </row>
    <row r="10" spans="1:4" ht="66.75" customHeight="1" x14ac:dyDescent="0.2">
      <c r="A10" s="355" t="s">
        <v>409</v>
      </c>
      <c r="B10" s="356" t="s">
        <v>410</v>
      </c>
      <c r="C10" s="356" t="s">
        <v>536</v>
      </c>
      <c r="D10" s="357" t="s">
        <v>537</v>
      </c>
    </row>
    <row r="11" spans="1:4" ht="14.25" customHeight="1" x14ac:dyDescent="0.2">
      <c r="A11" s="358" t="s">
        <v>413</v>
      </c>
      <c r="B11" s="358"/>
      <c r="C11" s="358"/>
      <c r="D11" s="358"/>
    </row>
    <row r="12" spans="1:4" ht="14.25" customHeight="1" x14ac:dyDescent="0.2">
      <c r="A12" s="359" t="s">
        <v>414</v>
      </c>
      <c r="B12" s="360" t="s">
        <v>415</v>
      </c>
      <c r="C12" s="360" t="s">
        <v>416</v>
      </c>
      <c r="D12" s="361" t="s">
        <v>416</v>
      </c>
    </row>
    <row r="13" spans="1:4" ht="14.25" customHeight="1" x14ac:dyDescent="0.2">
      <c r="A13" s="362" t="s">
        <v>417</v>
      </c>
      <c r="B13" s="363"/>
      <c r="C13" s="364">
        <f>C5</f>
        <v>1401.16</v>
      </c>
      <c r="D13" s="366">
        <f>D5</f>
        <v>1146.4036363636365</v>
      </c>
    </row>
    <row r="14" spans="1:4" ht="14.25" customHeight="1" x14ac:dyDescent="0.2">
      <c r="A14" s="362" t="s">
        <v>418</v>
      </c>
      <c r="B14" s="367">
        <v>0.2</v>
      </c>
      <c r="C14" s="364">
        <f>C13*$B$14</f>
        <v>280.23200000000003</v>
      </c>
      <c r="D14" s="366">
        <f>D13*$B$14</f>
        <v>229.28072727272729</v>
      </c>
    </row>
    <row r="15" spans="1:4" ht="14.25" customHeight="1" x14ac:dyDescent="0.2">
      <c r="A15" s="362" t="s">
        <v>419</v>
      </c>
      <c r="B15" s="368"/>
      <c r="C15" s="364"/>
      <c r="D15" s="366"/>
    </row>
    <row r="16" spans="1:4" ht="14.25" customHeight="1" x14ac:dyDescent="0.2">
      <c r="A16" s="362" t="s">
        <v>420</v>
      </c>
      <c r="B16" s="368"/>
      <c r="C16" s="364"/>
      <c r="D16" s="366"/>
    </row>
    <row r="17" spans="1:4" ht="14.25" customHeight="1" x14ac:dyDescent="0.2">
      <c r="A17" s="362" t="s">
        <v>421</v>
      </c>
      <c r="B17" s="368"/>
      <c r="C17" s="364"/>
      <c r="D17" s="366"/>
    </row>
    <row r="18" spans="1:4" ht="14.25" customHeight="1" x14ac:dyDescent="0.2">
      <c r="A18" s="362" t="s">
        <v>538</v>
      </c>
      <c r="B18" s="496"/>
      <c r="C18" s="364"/>
      <c r="D18" s="366"/>
    </row>
    <row r="19" spans="1:4" ht="14.25" customHeight="1" x14ac:dyDescent="0.2">
      <c r="A19" s="369" t="s">
        <v>423</v>
      </c>
      <c r="B19" s="370"/>
      <c r="C19" s="371">
        <f>SUM(C13:C18)</f>
        <v>1681.3920000000001</v>
      </c>
      <c r="D19" s="372">
        <f>SUM(D13:D18)</f>
        <v>1375.6843636363637</v>
      </c>
    </row>
    <row r="20" spans="1:4" ht="14.25" customHeight="1" x14ac:dyDescent="0.2">
      <c r="A20" s="881"/>
      <c r="B20" s="881"/>
      <c r="C20" s="374"/>
      <c r="D20" s="375"/>
    </row>
    <row r="21" spans="1:4" ht="14.25" customHeight="1" x14ac:dyDescent="0.2">
      <c r="A21" s="919" t="s">
        <v>424</v>
      </c>
      <c r="B21" s="919"/>
      <c r="C21" s="919"/>
      <c r="D21" s="919"/>
    </row>
    <row r="22" spans="1:4" ht="14.25" customHeight="1" x14ac:dyDescent="0.2">
      <c r="A22" s="376" t="s">
        <v>425</v>
      </c>
      <c r="B22" s="377" t="s">
        <v>415</v>
      </c>
      <c r="C22" s="377" t="s">
        <v>416</v>
      </c>
      <c r="D22" s="378" t="s">
        <v>416</v>
      </c>
    </row>
    <row r="23" spans="1:4" ht="14.25" customHeight="1" x14ac:dyDescent="0.2">
      <c r="A23" s="379" t="s">
        <v>426</v>
      </c>
      <c r="B23" s="367">
        <f>1/12</f>
        <v>8.3333333333333329E-2</v>
      </c>
      <c r="C23" s="364">
        <f>ROUND($B23*C$19,2)</f>
        <v>140.12</v>
      </c>
      <c r="D23" s="366">
        <f>ROUND($B23*D$19,2)</f>
        <v>114.64</v>
      </c>
    </row>
    <row r="24" spans="1:4" ht="14.25" customHeight="1" x14ac:dyDescent="0.2">
      <c r="A24" s="379" t="s">
        <v>427</v>
      </c>
      <c r="B24" s="367">
        <f>1/3*1/12</f>
        <v>2.7777777777777776E-2</v>
      </c>
      <c r="C24" s="364">
        <f>C$19*$B$24</f>
        <v>46.705333333333336</v>
      </c>
      <c r="D24" s="366">
        <f>D$19*$B$24</f>
        <v>38.213454545454546</v>
      </c>
    </row>
    <row r="25" spans="1:4" ht="14.25" customHeight="1" x14ac:dyDescent="0.2">
      <c r="A25" s="369" t="s">
        <v>423</v>
      </c>
      <c r="B25" s="380">
        <f>SUM(B23:B24)</f>
        <v>0.1111111111111111</v>
      </c>
      <c r="C25" s="371">
        <f>SUM(C23:C24)</f>
        <v>186.82533333333333</v>
      </c>
      <c r="D25" s="372">
        <f>SUM(D23:D24)</f>
        <v>152.85345454545455</v>
      </c>
    </row>
    <row r="26" spans="1:4" ht="14.25" customHeight="1" x14ac:dyDescent="0.2">
      <c r="A26" s="376" t="s">
        <v>428</v>
      </c>
      <c r="B26" s="377" t="s">
        <v>415</v>
      </c>
      <c r="C26" s="377" t="s">
        <v>416</v>
      </c>
      <c r="D26" s="378" t="s">
        <v>416</v>
      </c>
    </row>
    <row r="27" spans="1:4" ht="14.25" customHeight="1" x14ac:dyDescent="0.2">
      <c r="A27" s="376" t="s">
        <v>429</v>
      </c>
      <c r="B27" s="381"/>
      <c r="C27" s="381"/>
      <c r="D27" s="382"/>
    </row>
    <row r="28" spans="1:4" ht="14.25" customHeight="1" x14ac:dyDescent="0.2">
      <c r="A28" s="379" t="s">
        <v>430</v>
      </c>
      <c r="B28" s="367">
        <v>0.2</v>
      </c>
      <c r="C28" s="383">
        <f t="shared" ref="C28:C35" si="0">ROUND(($C$19+$C$25)*B28,2)</f>
        <v>373.64</v>
      </c>
      <c r="D28" s="384">
        <f t="shared" ref="D28:D35" si="1">ROUND(($D$19+$D$25)*B28,2)</f>
        <v>305.70999999999998</v>
      </c>
    </row>
    <row r="29" spans="1:4" ht="14.25" customHeight="1" x14ac:dyDescent="0.2">
      <c r="A29" s="379" t="s">
        <v>431</v>
      </c>
      <c r="B29" s="367">
        <v>2.5000000000000001E-2</v>
      </c>
      <c r="C29" s="383">
        <f t="shared" si="0"/>
        <v>46.71</v>
      </c>
      <c r="D29" s="384">
        <f t="shared" si="1"/>
        <v>38.21</v>
      </c>
    </row>
    <row r="30" spans="1:4" ht="14.25" customHeight="1" x14ac:dyDescent="0.2">
      <c r="A30" s="379" t="s">
        <v>432</v>
      </c>
      <c r="B30" s="367">
        <v>0.03</v>
      </c>
      <c r="C30" s="383">
        <f t="shared" si="0"/>
        <v>56.05</v>
      </c>
      <c r="D30" s="384">
        <f t="shared" si="1"/>
        <v>45.86</v>
      </c>
    </row>
    <row r="31" spans="1:4" ht="14.25" customHeight="1" x14ac:dyDescent="0.2">
      <c r="A31" s="379" t="s">
        <v>433</v>
      </c>
      <c r="B31" s="367">
        <v>1.4999999999999999E-2</v>
      </c>
      <c r="C31" s="383">
        <f t="shared" si="0"/>
        <v>28.02</v>
      </c>
      <c r="D31" s="384">
        <f t="shared" si="1"/>
        <v>22.93</v>
      </c>
    </row>
    <row r="32" spans="1:4" ht="14.25" customHeight="1" x14ac:dyDescent="0.2">
      <c r="A32" s="379" t="s">
        <v>434</v>
      </c>
      <c r="B32" s="367">
        <v>0.01</v>
      </c>
      <c r="C32" s="383">
        <f t="shared" si="0"/>
        <v>18.68</v>
      </c>
      <c r="D32" s="384">
        <f t="shared" si="1"/>
        <v>15.29</v>
      </c>
    </row>
    <row r="33" spans="1:4" ht="14.25" customHeight="1" x14ac:dyDescent="0.2">
      <c r="A33" s="379" t="s">
        <v>435</v>
      </c>
      <c r="B33" s="367">
        <v>6.0000000000000001E-3</v>
      </c>
      <c r="C33" s="383">
        <f t="shared" si="0"/>
        <v>11.21</v>
      </c>
      <c r="D33" s="384">
        <f t="shared" si="1"/>
        <v>9.17</v>
      </c>
    </row>
    <row r="34" spans="1:4" ht="14.25" customHeight="1" x14ac:dyDescent="0.2">
      <c r="A34" s="379" t="s">
        <v>436</v>
      </c>
      <c r="B34" s="367">
        <v>2E-3</v>
      </c>
      <c r="C34" s="383">
        <f t="shared" si="0"/>
        <v>3.74</v>
      </c>
      <c r="D34" s="384">
        <f t="shared" si="1"/>
        <v>3.06</v>
      </c>
    </row>
    <row r="35" spans="1:4" ht="14.25" customHeight="1" x14ac:dyDescent="0.2">
      <c r="A35" s="379" t="s">
        <v>437</v>
      </c>
      <c r="B35" s="367">
        <v>0.08</v>
      </c>
      <c r="C35" s="383">
        <f t="shared" si="0"/>
        <v>149.46</v>
      </c>
      <c r="D35" s="384">
        <f t="shared" si="1"/>
        <v>122.28</v>
      </c>
    </row>
    <row r="36" spans="1:4" ht="14.25" customHeight="1" x14ac:dyDescent="0.2">
      <c r="A36" s="369" t="s">
        <v>423</v>
      </c>
      <c r="B36" s="380">
        <f>SUM(B28:B35)</f>
        <v>0.36800000000000005</v>
      </c>
      <c r="C36" s="371">
        <f>SUM(C27:C35)</f>
        <v>687.51</v>
      </c>
      <c r="D36" s="372">
        <f>SUM(D27:D35)</f>
        <v>562.51</v>
      </c>
    </row>
    <row r="37" spans="1:4" ht="14.25" customHeight="1" x14ac:dyDescent="0.2">
      <c r="A37" s="376" t="s">
        <v>438</v>
      </c>
      <c r="B37" s="377" t="s">
        <v>439</v>
      </c>
      <c r="C37" s="377" t="s">
        <v>416</v>
      </c>
      <c r="D37" s="378" t="s">
        <v>416</v>
      </c>
    </row>
    <row r="38" spans="1:4" ht="14.25" customHeight="1" x14ac:dyDescent="0.2">
      <c r="A38" s="379" t="s">
        <v>440</v>
      </c>
      <c r="B38" s="385">
        <f>MC!D83</f>
        <v>5</v>
      </c>
      <c r="C38" s="364">
        <f>ROUND(((2*22*$B$38)-0.06*C$13),2)</f>
        <v>135.93</v>
      </c>
      <c r="D38" s="366">
        <f>ROUND(((2*22*$B$38)-0.06*D$13),2)</f>
        <v>151.22</v>
      </c>
    </row>
    <row r="39" spans="1:4" ht="14.25" customHeight="1" x14ac:dyDescent="0.2">
      <c r="A39" s="379" t="s">
        <v>441</v>
      </c>
      <c r="B39" s="386"/>
      <c r="C39" s="383">
        <f>MC!E20</f>
        <v>463.26</v>
      </c>
      <c r="D39" s="384">
        <f>MC!E21</f>
        <v>380.93</v>
      </c>
    </row>
    <row r="40" spans="1:4" ht="14.25" customHeight="1" x14ac:dyDescent="0.2">
      <c r="A40" s="671" t="s">
        <v>540</v>
      </c>
      <c r="B40" s="367">
        <f>MC!C25</f>
        <v>0</v>
      </c>
      <c r="C40" s="383">
        <f>MC!J25</f>
        <v>200</v>
      </c>
      <c r="D40" s="384">
        <f>MC!J26</f>
        <v>150</v>
      </c>
    </row>
    <row r="41" spans="1:4" ht="14.25" customHeight="1" x14ac:dyDescent="0.2">
      <c r="A41" s="379" t="s">
        <v>443</v>
      </c>
      <c r="B41" s="387">
        <f>MC!J24</f>
        <v>11</v>
      </c>
      <c r="C41" s="383">
        <f>B41</f>
        <v>11</v>
      </c>
      <c r="D41" s="384">
        <f>B41</f>
        <v>11</v>
      </c>
    </row>
    <row r="42" spans="1:4" ht="14.25" customHeight="1" x14ac:dyDescent="0.2">
      <c r="A42" s="379" t="s">
        <v>444</v>
      </c>
      <c r="B42" s="367">
        <f>MC!H23</f>
        <v>7.0000000000000007E-2</v>
      </c>
      <c r="C42" s="383">
        <f>$B$42*C19</f>
        <v>117.69744000000001</v>
      </c>
      <c r="D42" s="383">
        <f>$B$42*D19</f>
        <v>96.297905454545472</v>
      </c>
    </row>
    <row r="43" spans="1:4" ht="14.25" customHeight="1" x14ac:dyDescent="0.2">
      <c r="A43" s="379" t="s">
        <v>445</v>
      </c>
      <c r="B43" s="367"/>
      <c r="C43" s="383"/>
      <c r="D43" s="384"/>
    </row>
    <row r="44" spans="1:4" ht="14.25" customHeight="1" x14ac:dyDescent="0.2">
      <c r="A44" s="369" t="s">
        <v>423</v>
      </c>
      <c r="B44" s="370"/>
      <c r="C44" s="371">
        <f>SUM(C38:C43)</f>
        <v>927.88744000000008</v>
      </c>
      <c r="D44" s="372">
        <f>SUM(D38:D43)</f>
        <v>789.44790545454543</v>
      </c>
    </row>
    <row r="45" spans="1:4" ht="14.25" customHeight="1" x14ac:dyDescent="0.2">
      <c r="A45" s="359" t="s">
        <v>446</v>
      </c>
      <c r="B45" s="360" t="s">
        <v>415</v>
      </c>
      <c r="C45" s="360" t="s">
        <v>416</v>
      </c>
      <c r="D45" s="361" t="s">
        <v>416</v>
      </c>
    </row>
    <row r="46" spans="1:4" ht="14.25" customHeight="1" x14ac:dyDescent="0.2">
      <c r="A46" s="379" t="s">
        <v>425</v>
      </c>
      <c r="B46" s="388">
        <f>B25</f>
        <v>0.1111111111111111</v>
      </c>
      <c r="C46" s="389">
        <f>C25</f>
        <v>186.82533333333333</v>
      </c>
      <c r="D46" s="390">
        <f>D25</f>
        <v>152.85345454545455</v>
      </c>
    </row>
    <row r="47" spans="1:4" ht="14.25" customHeight="1" x14ac:dyDescent="0.2">
      <c r="A47" s="379" t="s">
        <v>447</v>
      </c>
      <c r="B47" s="388">
        <f>B36</f>
        <v>0.36800000000000005</v>
      </c>
      <c r="C47" s="389">
        <f>C36</f>
        <v>687.51</v>
      </c>
      <c r="D47" s="390">
        <f>D36</f>
        <v>562.51</v>
      </c>
    </row>
    <row r="48" spans="1:4" ht="14.25" customHeight="1" x14ac:dyDescent="0.2">
      <c r="A48" s="379" t="s">
        <v>438</v>
      </c>
      <c r="B48" s="388"/>
      <c r="C48" s="389">
        <f>C44</f>
        <v>927.88744000000008</v>
      </c>
      <c r="D48" s="390">
        <f>D44</f>
        <v>789.44790545454543</v>
      </c>
    </row>
    <row r="49" spans="1:4" ht="14.25" customHeight="1" x14ac:dyDescent="0.2">
      <c r="A49" s="369" t="s">
        <v>423</v>
      </c>
      <c r="B49" s="370"/>
      <c r="C49" s="371">
        <f>SUM(C46:C48)</f>
        <v>1802.2227733333334</v>
      </c>
      <c r="D49" s="372">
        <f>SUM(D46:D48)</f>
        <v>1504.8113599999999</v>
      </c>
    </row>
    <row r="50" spans="1:4" ht="14.25" customHeight="1" x14ac:dyDescent="0.2">
      <c r="A50" s="881"/>
      <c r="B50" s="881"/>
      <c r="C50" s="374"/>
      <c r="D50" s="375"/>
    </row>
    <row r="51" spans="1:4" s="391" customFormat="1" ht="14.25" customHeight="1" x14ac:dyDescent="0.2">
      <c r="A51" s="919" t="s">
        <v>448</v>
      </c>
      <c r="B51" s="919"/>
      <c r="C51" s="919"/>
      <c r="D51" s="919"/>
    </row>
    <row r="52" spans="1:4" ht="14.25" customHeight="1" x14ac:dyDescent="0.2">
      <c r="A52" s="359" t="s">
        <v>449</v>
      </c>
      <c r="B52" s="360" t="s">
        <v>415</v>
      </c>
      <c r="C52" s="360" t="s">
        <v>416</v>
      </c>
      <c r="D52" s="361" t="s">
        <v>416</v>
      </c>
    </row>
    <row r="53" spans="1:4" ht="14.25" customHeight="1" x14ac:dyDescent="0.2">
      <c r="A53" s="376" t="s">
        <v>450</v>
      </c>
      <c r="B53" s="392"/>
      <c r="C53" s="392"/>
      <c r="D53" s="393"/>
    </row>
    <row r="54" spans="1:4" ht="14.25" customHeight="1" x14ac:dyDescent="0.2">
      <c r="A54" s="379" t="s">
        <v>451</v>
      </c>
      <c r="B54" s="388">
        <f>1/12*0.05</f>
        <v>4.1666666666666666E-3</v>
      </c>
      <c r="C54" s="394">
        <f>C19*$B54</f>
        <v>7.0057999999999998</v>
      </c>
      <c r="D54" s="497">
        <f>D19*$B54</f>
        <v>5.7320181818181819</v>
      </c>
    </row>
    <row r="55" spans="1:4" ht="14.25" customHeight="1" x14ac:dyDescent="0.2">
      <c r="A55" s="379" t="s">
        <v>452</v>
      </c>
      <c r="B55" s="388">
        <f>B35*B54</f>
        <v>3.3333333333333332E-4</v>
      </c>
      <c r="C55" s="394">
        <f>$B$55*C19</f>
        <v>0.56046399999999996</v>
      </c>
      <c r="D55" s="497">
        <f>$B$55*D19</f>
        <v>0.45856145454545455</v>
      </c>
    </row>
    <row r="56" spans="1:4" ht="14.25" customHeight="1" x14ac:dyDescent="0.2">
      <c r="A56" s="379" t="s">
        <v>453</v>
      </c>
      <c r="B56" s="388">
        <v>0</v>
      </c>
      <c r="C56" s="394">
        <f>C35*$B56</f>
        <v>0</v>
      </c>
      <c r="D56" s="497">
        <f>D35*$B56</f>
        <v>0</v>
      </c>
    </row>
    <row r="57" spans="1:4" ht="14.25" customHeight="1" x14ac:dyDescent="0.2">
      <c r="A57" s="379" t="s">
        <v>454</v>
      </c>
      <c r="B57" s="388">
        <f>1/12*1/30*7</f>
        <v>1.9444444444444441E-2</v>
      </c>
      <c r="C57" s="389">
        <f>C19*$B57</f>
        <v>32.693733333333327</v>
      </c>
      <c r="D57" s="390">
        <f>D19*$B57</f>
        <v>26.749418181818179</v>
      </c>
    </row>
    <row r="58" spans="1:4" ht="14.25" customHeight="1" x14ac:dyDescent="0.2">
      <c r="A58" s="379" t="s">
        <v>455</v>
      </c>
      <c r="B58" s="388">
        <f>B36*B57</f>
        <v>7.1555555555555556E-3</v>
      </c>
      <c r="C58" s="389">
        <f>$B58*C19</f>
        <v>12.031293866666667</v>
      </c>
      <c r="D58" s="390">
        <f>$B58*D19</f>
        <v>9.843785890909091</v>
      </c>
    </row>
    <row r="59" spans="1:4" ht="14.25" customHeight="1" x14ac:dyDescent="0.2">
      <c r="A59" s="379" t="s">
        <v>456</v>
      </c>
      <c r="B59" s="388">
        <f>B35*40/100*90/100*(1+1/12+1/12+1/3*1/12)</f>
        <v>3.4399999999999993E-2</v>
      </c>
      <c r="C59" s="389">
        <f>C19*$B59</f>
        <v>57.839884799999993</v>
      </c>
      <c r="D59" s="390">
        <f>D19*$B59</f>
        <v>47.323542109090901</v>
      </c>
    </row>
    <row r="60" spans="1:4" ht="14.25" customHeight="1" x14ac:dyDescent="0.2">
      <c r="A60" s="369" t="s">
        <v>423</v>
      </c>
      <c r="B60" s="380">
        <f>SUM(B54:B59)</f>
        <v>6.5499999999999989E-2</v>
      </c>
      <c r="C60" s="395">
        <f>SUM(C54:C59)</f>
        <v>110.13117599999998</v>
      </c>
      <c r="D60" s="396">
        <f>SUM(D54:D59)</f>
        <v>90.107325818181806</v>
      </c>
    </row>
    <row r="61" spans="1:4" ht="14.25" customHeight="1" x14ac:dyDescent="0.2">
      <c r="A61" s="881"/>
      <c r="B61" s="881"/>
      <c r="C61" s="397"/>
      <c r="D61" s="398"/>
    </row>
    <row r="62" spans="1:4" ht="14.25" customHeight="1" x14ac:dyDescent="0.2">
      <c r="A62" s="919" t="s">
        <v>457</v>
      </c>
      <c r="B62" s="919"/>
      <c r="C62" s="919"/>
      <c r="D62" s="919"/>
    </row>
    <row r="63" spans="1:4" ht="14.25" customHeight="1" x14ac:dyDescent="0.2">
      <c r="A63" s="376" t="s">
        <v>45</v>
      </c>
      <c r="B63" s="377"/>
      <c r="C63" s="377"/>
      <c r="D63" s="378"/>
    </row>
    <row r="64" spans="1:4" ht="14.25" customHeight="1" x14ac:dyDescent="0.2">
      <c r="A64" s="379" t="s">
        <v>46</v>
      </c>
      <c r="B64" s="367">
        <f>1/12</f>
        <v>8.3333333333333329E-2</v>
      </c>
      <c r="C64" s="383">
        <f>$B64*(C$19+(C$49-C$38-C$39)+C$60)</f>
        <v>249.54632911111108</v>
      </c>
      <c r="D64" s="383">
        <f t="shared" ref="D64" si="2">$B64*(D$19+(D$49-D$38-D$39)+D$60)</f>
        <v>203.2044207878788</v>
      </c>
    </row>
    <row r="65" spans="1:4" ht="14.25" customHeight="1" x14ac:dyDescent="0.2">
      <c r="A65" s="379" t="s">
        <v>458</v>
      </c>
      <c r="B65" s="367">
        <f>MC!E52/30/12</f>
        <v>1.3538888888888885E-2</v>
      </c>
      <c r="C65" s="383">
        <f t="shared" ref="C65:D67" si="3">$B65*(C$19+(C$49-C$38-C$39)+C$60)</f>
        <v>40.542960269585173</v>
      </c>
      <c r="D65" s="383">
        <f t="shared" si="3"/>
        <v>33.013944897337367</v>
      </c>
    </row>
    <row r="66" spans="1:4" ht="14.25" customHeight="1" x14ac:dyDescent="0.2">
      <c r="A66" s="379" t="s">
        <v>459</v>
      </c>
      <c r="B66" s="399">
        <f>(5/30)/12*MC!F54*MC!C55</f>
        <v>1.0764583333333333E-4</v>
      </c>
      <c r="C66" s="383">
        <f t="shared" si="3"/>
        <v>0.32235147062927777</v>
      </c>
      <c r="D66" s="383">
        <f t="shared" si="3"/>
        <v>0.26248931055274244</v>
      </c>
    </row>
    <row r="67" spans="1:4" ht="14.25" customHeight="1" x14ac:dyDescent="0.2">
      <c r="A67" s="379" t="s">
        <v>460</v>
      </c>
      <c r="B67" s="399">
        <f>MC!C57/30/12</f>
        <v>2.6830555555555553E-3</v>
      </c>
      <c r="C67" s="383">
        <f t="shared" si="3"/>
        <v>8.0345599762807396</v>
      </c>
      <c r="D67" s="383">
        <f t="shared" si="3"/>
        <v>6.5425050013004036</v>
      </c>
    </row>
    <row r="68" spans="1:4" ht="14.25" customHeight="1" x14ac:dyDescent="0.2">
      <c r="A68" s="379" t="s">
        <v>461</v>
      </c>
      <c r="B68" s="367"/>
      <c r="C68" s="383"/>
      <c r="D68" s="383"/>
    </row>
    <row r="69" spans="1:4" ht="14.25" customHeight="1" x14ac:dyDescent="0.2">
      <c r="A69" s="400" t="s">
        <v>462</v>
      </c>
      <c r="B69" s="401">
        <f>SUM(B64:B68)</f>
        <v>9.9662923611111107E-2</v>
      </c>
      <c r="C69" s="402">
        <f>SUM(C64:C68)</f>
        <v>298.44620082760622</v>
      </c>
      <c r="D69" s="403">
        <f>SUM(D64:D68)</f>
        <v>243.02335999706932</v>
      </c>
    </row>
    <row r="70" spans="1:4" ht="14.25" customHeight="1" x14ac:dyDescent="0.2">
      <c r="A70" s="376" t="s">
        <v>463</v>
      </c>
      <c r="B70" s="377"/>
      <c r="C70" s="377"/>
      <c r="D70" s="378"/>
    </row>
    <row r="71" spans="1:4" ht="14.25" customHeight="1" x14ac:dyDescent="0.2">
      <c r="A71" s="379" t="s">
        <v>464</v>
      </c>
      <c r="B71" s="367"/>
      <c r="C71" s="383"/>
      <c r="D71" s="384"/>
    </row>
    <row r="72" spans="1:4" ht="14.25" customHeight="1" x14ac:dyDescent="0.2">
      <c r="A72" s="400" t="s">
        <v>462</v>
      </c>
      <c r="B72" s="401"/>
      <c r="C72" s="402">
        <f>C71</f>
        <v>0</v>
      </c>
      <c r="D72" s="403"/>
    </row>
    <row r="73" spans="1:4" ht="14.25" customHeight="1" x14ac:dyDescent="0.2">
      <c r="A73" s="376" t="s">
        <v>67</v>
      </c>
      <c r="B73" s="377"/>
      <c r="C73" s="377"/>
      <c r="D73" s="378"/>
    </row>
    <row r="74" spans="1:4" ht="14.25" customHeight="1" x14ac:dyDescent="0.2">
      <c r="A74" s="379" t="s">
        <v>68</v>
      </c>
      <c r="B74" s="367">
        <f>120/30*MC!C60*MC!C61</f>
        <v>6.18624E-3</v>
      </c>
      <c r="C74" s="383">
        <f>(((C19*2)+ (C19*1/3))+(C36)+(C44-C38-C39))*$B$74</f>
        <v>30.556656821145598</v>
      </c>
      <c r="D74" s="384">
        <f>(((D19*2)+ (D19*1/3))+(D36)+(D44-D38-D39))*$B$74</f>
        <v>24.928926945010037</v>
      </c>
    </row>
    <row r="75" spans="1:4" ht="14.25" customHeight="1" x14ac:dyDescent="0.2">
      <c r="A75" s="400" t="s">
        <v>423</v>
      </c>
      <c r="B75" s="401"/>
      <c r="C75" s="402"/>
      <c r="D75" s="403"/>
    </row>
    <row r="76" spans="1:4" ht="14.25" customHeight="1" x14ac:dyDescent="0.2">
      <c r="A76" s="359" t="s">
        <v>465</v>
      </c>
      <c r="B76" s="360"/>
      <c r="C76" s="360"/>
      <c r="D76" s="361"/>
    </row>
    <row r="77" spans="1:4" ht="14.25" customHeight="1" x14ac:dyDescent="0.2">
      <c r="A77" s="379" t="s">
        <v>45</v>
      </c>
      <c r="B77" s="388">
        <f>B69</f>
        <v>9.9662923611111107E-2</v>
      </c>
      <c r="C77" s="389">
        <f>C69</f>
        <v>298.44620082760622</v>
      </c>
      <c r="D77" s="390">
        <f>D69</f>
        <v>243.02335999706932</v>
      </c>
    </row>
    <row r="78" spans="1:4" ht="14.25" customHeight="1" x14ac:dyDescent="0.2">
      <c r="A78" s="379" t="s">
        <v>463</v>
      </c>
      <c r="B78" s="388">
        <f>B72</f>
        <v>0</v>
      </c>
      <c r="C78" s="389">
        <f>C72</f>
        <v>0</v>
      </c>
      <c r="D78" s="390">
        <f>D72</f>
        <v>0</v>
      </c>
    </row>
    <row r="79" spans="1:4" ht="14.25" customHeight="1" x14ac:dyDescent="0.2">
      <c r="A79" s="379" t="s">
        <v>67</v>
      </c>
      <c r="B79" s="388">
        <f>B74</f>
        <v>6.18624E-3</v>
      </c>
      <c r="C79" s="389">
        <f>C74</f>
        <v>30.556656821145598</v>
      </c>
      <c r="D79" s="390">
        <f>D74</f>
        <v>24.928926945010037</v>
      </c>
    </row>
    <row r="80" spans="1:4" ht="14.25" customHeight="1" x14ac:dyDescent="0.2">
      <c r="A80" s="369" t="s">
        <v>423</v>
      </c>
      <c r="B80" s="370"/>
      <c r="C80" s="371">
        <f>SUM(C77:C79)</f>
        <v>329.00285764875184</v>
      </c>
      <c r="D80" s="372">
        <f>SUM(D77:D79)</f>
        <v>267.95228694207935</v>
      </c>
    </row>
    <row r="81" spans="1:4" ht="14.25" customHeight="1" x14ac:dyDescent="0.2">
      <c r="A81" s="373"/>
      <c r="B81" s="374"/>
      <c r="C81" s="374"/>
      <c r="D81" s="375"/>
    </row>
    <row r="82" spans="1:4" ht="14.25" customHeight="1" x14ac:dyDescent="0.2">
      <c r="A82" s="404" t="s">
        <v>466</v>
      </c>
      <c r="B82" s="405"/>
      <c r="C82" s="405"/>
      <c r="D82" s="406"/>
    </row>
    <row r="83" spans="1:4" ht="14.25" customHeight="1" x14ac:dyDescent="0.2">
      <c r="A83" s="359" t="s">
        <v>467</v>
      </c>
      <c r="B83" s="360" t="s">
        <v>439</v>
      </c>
      <c r="C83" s="360" t="s">
        <v>416</v>
      </c>
      <c r="D83" s="361" t="s">
        <v>416</v>
      </c>
    </row>
    <row r="84" spans="1:4" ht="14.25" customHeight="1" x14ac:dyDescent="0.2">
      <c r="A84" s="379" t="s">
        <v>468</v>
      </c>
      <c r="B84" s="498">
        <f>Insumos!F110</f>
        <v>33.474166666666669</v>
      </c>
      <c r="C84" s="364">
        <f>Insumos!F110</f>
        <v>33.474166666666669</v>
      </c>
      <c r="D84" s="366">
        <f>Insumos!F110</f>
        <v>33.474166666666669</v>
      </c>
    </row>
    <row r="85" spans="1:4" ht="14.25" customHeight="1" x14ac:dyDescent="0.2">
      <c r="A85" s="408" t="s">
        <v>469</v>
      </c>
      <c r="B85" s="498">
        <f>Insumos!E69</f>
        <v>268.73333333333335</v>
      </c>
      <c r="C85" s="364">
        <f>B85</f>
        <v>268.73333333333335</v>
      </c>
      <c r="D85" s="366">
        <f>B85</f>
        <v>268.73333333333335</v>
      </c>
    </row>
    <row r="86" spans="1:4" ht="14.25" customHeight="1" x14ac:dyDescent="0.2">
      <c r="A86" s="408" t="s">
        <v>470</v>
      </c>
      <c r="B86" s="499">
        <v>0</v>
      </c>
      <c r="C86" s="364"/>
      <c r="D86" s="366"/>
    </row>
    <row r="87" spans="1:4" ht="14.25" customHeight="1" x14ac:dyDescent="0.2">
      <c r="A87" s="408" t="s">
        <v>471</v>
      </c>
      <c r="B87" s="500">
        <f>Insumos!G114</f>
        <v>213.35999999999999</v>
      </c>
      <c r="C87" s="364">
        <f>B87</f>
        <v>213.35999999999999</v>
      </c>
      <c r="D87" s="366">
        <f>Insumos!F114</f>
        <v>191.57999999999998</v>
      </c>
    </row>
    <row r="88" spans="1:4" ht="14.25" customHeight="1" x14ac:dyDescent="0.2">
      <c r="A88" s="408" t="s">
        <v>472</v>
      </c>
      <c r="B88" s="501">
        <v>0</v>
      </c>
      <c r="C88" s="364"/>
      <c r="D88" s="366"/>
    </row>
    <row r="89" spans="1:4" ht="14.25" customHeight="1" x14ac:dyDescent="0.2">
      <c r="A89" s="686" t="s">
        <v>473</v>
      </c>
      <c r="B89" s="498">
        <v>0</v>
      </c>
      <c r="C89" s="364"/>
      <c r="D89" s="366"/>
    </row>
    <row r="90" spans="1:4" ht="14.25" customHeight="1" x14ac:dyDescent="0.2">
      <c r="A90" s="686" t="s">
        <v>474</v>
      </c>
      <c r="B90" s="498">
        <v>0</v>
      </c>
      <c r="C90" s="364"/>
      <c r="D90" s="366"/>
    </row>
    <row r="91" spans="1:4" ht="14.25" customHeight="1" x14ac:dyDescent="0.2">
      <c r="A91" s="400" t="s">
        <v>423</v>
      </c>
      <c r="B91" s="410"/>
      <c r="C91" s="402">
        <f>SUM(C84:C90)</f>
        <v>515.5675</v>
      </c>
      <c r="D91" s="403">
        <f>SUM(D84:D90)</f>
        <v>493.78750000000002</v>
      </c>
    </row>
    <row r="92" spans="1:4" ht="14.25" customHeight="1" x14ac:dyDescent="0.2">
      <c r="A92" s="881"/>
      <c r="B92" s="881"/>
      <c r="C92" s="411"/>
      <c r="D92" s="412"/>
    </row>
    <row r="93" spans="1:4" ht="14.25" customHeight="1" x14ac:dyDescent="0.2">
      <c r="A93" s="404" t="s">
        <v>475</v>
      </c>
      <c r="B93" s="405"/>
      <c r="C93" s="405"/>
      <c r="D93" s="406"/>
    </row>
    <row r="94" spans="1:4" ht="14.25" customHeight="1" x14ac:dyDescent="0.2">
      <c r="A94" s="359" t="s">
        <v>476</v>
      </c>
      <c r="B94" s="360" t="s">
        <v>415</v>
      </c>
      <c r="C94" s="360" t="s">
        <v>416</v>
      </c>
      <c r="D94" s="361" t="s">
        <v>416</v>
      </c>
    </row>
    <row r="95" spans="1:4" ht="14.25" customHeight="1" x14ac:dyDescent="0.2">
      <c r="A95" s="362" t="s">
        <v>73</v>
      </c>
      <c r="B95" s="367">
        <f>MC!C64</f>
        <v>0.06</v>
      </c>
      <c r="C95" s="383">
        <f>($C$19+$C$49+$C$60+$C$80+$C$91)*$B$95</f>
        <v>266.29897841892512</v>
      </c>
      <c r="D95" s="384">
        <f>($D$19+$D$49+$D$60+$D$80+$D$91)*$B$95</f>
        <v>223.94057018379746</v>
      </c>
    </row>
    <row r="96" spans="1:4" ht="14.25" customHeight="1" x14ac:dyDescent="0.2">
      <c r="A96" s="362" t="s">
        <v>74</v>
      </c>
      <c r="B96" s="367">
        <v>6.7900000000000002E-2</v>
      </c>
      <c r="C96" s="383">
        <f>($C$19+$C$49+$C$60+$C$80+$C$91+C95)*B96</f>
        <v>319.44337787872865</v>
      </c>
      <c r="D96" s="384">
        <f>($D$19+$D$49+$D$60+$D$80+$D$91+$D$95)*$B$96</f>
        <v>268.63164330681064</v>
      </c>
    </row>
    <row r="97" spans="1:5" ht="14.25" customHeight="1" x14ac:dyDescent="0.2">
      <c r="A97" s="413" t="s">
        <v>477</v>
      </c>
      <c r="B97" s="414">
        <f>B98+B99</f>
        <v>0.1125</v>
      </c>
      <c r="C97" s="415">
        <f>((C19+C49+C60+C80+C91+C95+C96)/(1-($B$97)))*$B$97</f>
        <v>636.8525066129248</v>
      </c>
      <c r="D97" s="502">
        <f>((D19+D49+D60+D80+D91+D95+D96)/(1-($B$97)))*$B$97</f>
        <v>535.55261195753656</v>
      </c>
    </row>
    <row r="98" spans="1:5" ht="14.25" customHeight="1" x14ac:dyDescent="0.2">
      <c r="A98" s="362" t="s">
        <v>478</v>
      </c>
      <c r="B98" s="367">
        <f>0.0165+0.076</f>
        <v>9.2499999999999999E-2</v>
      </c>
      <c r="C98" s="416">
        <f>((C$19+C$49+C$60+C$80+C$91+C$95+C$96)/(1-($B$97)))*$B$98</f>
        <v>523.63428321507149</v>
      </c>
      <c r="D98" s="503">
        <f>((D$19+D$49+D$60+D$80+D$91+D$95+D$96)/(1-($B$97)))*$B$98</f>
        <v>440.34325872064113</v>
      </c>
    </row>
    <row r="99" spans="1:5" ht="14.25" customHeight="1" x14ac:dyDescent="0.2">
      <c r="A99" s="362" t="s">
        <v>479</v>
      </c>
      <c r="B99" s="367">
        <v>0.02</v>
      </c>
      <c r="C99" s="417">
        <f>((C$19+C$49+C$60+C$80+C$91+C$95+C$96)/(1-($B$97)))*$B$99</f>
        <v>113.21822339785329</v>
      </c>
      <c r="D99" s="504">
        <f>((D$19+D$49+D$60+D$80+D$91+D$95+D$96)/(1-($B$97)))*$B$99</f>
        <v>95.209353236895382</v>
      </c>
    </row>
    <row r="100" spans="1:5" ht="14.25" customHeight="1" x14ac:dyDescent="0.2">
      <c r="A100" s="413" t="s">
        <v>480</v>
      </c>
      <c r="B100" s="414">
        <f>B101+B102</f>
        <v>0.1225</v>
      </c>
      <c r="C100" s="415">
        <f>((C19+C49+C60+C80+C91+C95+C96)/(1-($B$100)))*$B$100</f>
        <v>701.36431481682973</v>
      </c>
      <c r="D100" s="502">
        <f>((D19+D49+D60+D80+D91+D95+D96)/(1-($B$100)))*$B$100</f>
        <v>589.80295568226325</v>
      </c>
    </row>
    <row r="101" spans="1:5" ht="14.25" customHeight="1" x14ac:dyDescent="0.2">
      <c r="A101" s="362" t="s">
        <v>478</v>
      </c>
      <c r="B101" s="367">
        <f>0.0165+0.076</f>
        <v>9.2499999999999999E-2</v>
      </c>
      <c r="C101" s="416">
        <f>((C19+C49+C60+C80+C91+C95+C96)/(1-($B$100)))*$B$101</f>
        <v>529.6016254739327</v>
      </c>
      <c r="D101" s="503">
        <f>((D19+D49+D60+D80+D91+D95+D96)/(1-($B$100)))*$B$101</f>
        <v>445.36141551517841</v>
      </c>
    </row>
    <row r="102" spans="1:5" ht="14.25" customHeight="1" x14ac:dyDescent="0.2">
      <c r="A102" s="362" t="s">
        <v>479</v>
      </c>
      <c r="B102" s="367">
        <v>0.03</v>
      </c>
      <c r="C102" s="417">
        <f>((C19+C49+C60+C80+C91+C95+C96)/(1-($B$100)))*$B$102</f>
        <v>171.76268934289709</v>
      </c>
      <c r="D102" s="504">
        <f>((D19+D49+D60+D80+D91+D95+D96)/(1-($B$100)))*$B$102</f>
        <v>144.44154016708487</v>
      </c>
      <c r="E102" s="418"/>
    </row>
    <row r="103" spans="1:5" ht="14.25" customHeight="1" x14ac:dyDescent="0.2">
      <c r="A103" s="413" t="s">
        <v>481</v>
      </c>
      <c r="B103" s="414">
        <f>B104+B105</f>
        <v>0.13250000000000001</v>
      </c>
      <c r="C103" s="415">
        <f>((C19+C49+C60+C80+C91+C95+C96)/(1-($B$103)))*$B$103</f>
        <v>767.3634269562715</v>
      </c>
      <c r="D103" s="502">
        <f>((D19+D49+D60+D80+D91+D95+D96)/(1-($B$103)))*$B$103</f>
        <v>645.30402779257452</v>
      </c>
    </row>
    <row r="104" spans="1:5" ht="14.25" customHeight="1" x14ac:dyDescent="0.2">
      <c r="A104" s="362" t="s">
        <v>478</v>
      </c>
      <c r="B104" s="367">
        <f>0.0165+0.076</f>
        <v>9.2499999999999999E-2</v>
      </c>
      <c r="C104" s="416">
        <f>((C19+C49+C60+C80+C91+C95+C96)/(1-($B$103)))*$B$104</f>
        <v>535.70654334683104</v>
      </c>
      <c r="D104" s="503">
        <f>((D19+D49+D60+D80+D91+D95+D96)/(1-($B$103)))*$B$104</f>
        <v>450.49526468538215</v>
      </c>
    </row>
    <row r="105" spans="1:5" ht="14.25" customHeight="1" x14ac:dyDescent="0.2">
      <c r="A105" s="362" t="s">
        <v>479</v>
      </c>
      <c r="B105" s="367">
        <v>0.04</v>
      </c>
      <c r="C105" s="417">
        <f>((C19+C49+C60+C80+C91+C95+C96)/(1-($B$103)))*$B$105</f>
        <v>231.65688360944046</v>
      </c>
      <c r="D105" s="504">
        <f>((D19+D49+D60+D80+D91+D95+D96)/(1-($B$103)))*$B$105</f>
        <v>194.80876310719228</v>
      </c>
    </row>
    <row r="106" spans="1:5" ht="14.25" customHeight="1" x14ac:dyDescent="0.2">
      <c r="A106" s="413" t="s">
        <v>482</v>
      </c>
      <c r="B106" s="414">
        <f>B107+B108</f>
        <v>0.14250000000000002</v>
      </c>
      <c r="C106" s="415">
        <f>((C19+C49+C60+C80+C91+C95+C96)/(1-($B$106)))*$B$106</f>
        <v>834.9018769881784</v>
      </c>
      <c r="D106" s="502">
        <f>((D19+D49+D60+D80+D91+D95+D96)/(1-($B$106)))*$B$106</f>
        <v>702.09958554977345</v>
      </c>
    </row>
    <row r="107" spans="1:5" ht="14.25" customHeight="1" x14ac:dyDescent="0.2">
      <c r="A107" s="362" t="s">
        <v>478</v>
      </c>
      <c r="B107" s="367">
        <f>0.0165+0.076</f>
        <v>9.2499999999999999E-2</v>
      </c>
      <c r="C107" s="416">
        <f>((C19+C49+C60+C80+C91+C95+C96)/(1-($B$106)))*$B$107</f>
        <v>541.95384997478243</v>
      </c>
      <c r="D107" s="503">
        <f>((D19+D49+D60+D80+D91+D95+D96)/(1-($B$106)))*$B$107</f>
        <v>455.7488537779231</v>
      </c>
    </row>
    <row r="108" spans="1:5" ht="14.25" customHeight="1" x14ac:dyDescent="0.2">
      <c r="A108" s="362" t="s">
        <v>479</v>
      </c>
      <c r="B108" s="419">
        <v>0.05</v>
      </c>
      <c r="C108" s="417">
        <f>((C19+C49+C60+C80+C91+C95+C96)/(1-($B$106)))*$B$108</f>
        <v>292.94802701339592</v>
      </c>
      <c r="D108" s="504">
        <f>((D19+D49+D60+D80+D91+D95+D96)/(1-($B$106)))*$B$108</f>
        <v>246.35073177185032</v>
      </c>
    </row>
    <row r="109" spans="1:5" ht="14.25" customHeight="1" x14ac:dyDescent="0.2">
      <c r="A109" s="920" t="s">
        <v>483</v>
      </c>
      <c r="B109" s="420">
        <v>0.02</v>
      </c>
      <c r="C109" s="421">
        <f>C95+C96+C97</f>
        <v>1222.5948629105785</v>
      </c>
      <c r="D109" s="505">
        <f>D95+D96+D97</f>
        <v>1028.1248254481447</v>
      </c>
    </row>
    <row r="110" spans="1:5" ht="14.25" customHeight="1" x14ac:dyDescent="0.2">
      <c r="A110" s="920"/>
      <c r="B110" s="422">
        <v>0.03</v>
      </c>
      <c r="C110" s="423">
        <f>C95+C96+C100</f>
        <v>1287.1066711144836</v>
      </c>
      <c r="D110" s="506">
        <f>D95+D96+D100</f>
        <v>1082.3751691728712</v>
      </c>
      <c r="E110" s="418"/>
    </row>
    <row r="111" spans="1:5" ht="14.25" customHeight="1" x14ac:dyDescent="0.2">
      <c r="A111" s="920"/>
      <c r="B111" s="422">
        <v>0.04</v>
      </c>
      <c r="C111" s="423">
        <f>C95+C96+C103</f>
        <v>1353.1057832539252</v>
      </c>
      <c r="D111" s="506">
        <f>D95+D96+D103</f>
        <v>1137.8762412831825</v>
      </c>
    </row>
    <row r="112" spans="1:5" ht="14.25" customHeight="1" x14ac:dyDescent="0.2">
      <c r="A112" s="920"/>
      <c r="B112" s="424">
        <v>0.05</v>
      </c>
      <c r="C112" s="425">
        <f>C95+C96+C106</f>
        <v>1420.6442332858321</v>
      </c>
      <c r="D112" s="507">
        <f>D95+D96+D106</f>
        <v>1194.6717990403815</v>
      </c>
    </row>
    <row r="113" spans="1:4" ht="14.25" customHeight="1" x14ac:dyDescent="0.2">
      <c r="A113" s="362" t="s">
        <v>484</v>
      </c>
      <c r="B113" s="426"/>
      <c r="C113" s="427"/>
      <c r="D113" s="428"/>
    </row>
    <row r="114" spans="1:4" ht="14.25" customHeight="1" x14ac:dyDescent="0.2">
      <c r="A114" s="429"/>
      <c r="B114" s="430"/>
      <c r="C114" s="431"/>
      <c r="D114" s="432"/>
    </row>
    <row r="115" spans="1:4" ht="7.5" customHeight="1" x14ac:dyDescent="0.2">
      <c r="A115" s="921"/>
      <c r="B115" s="921"/>
      <c r="C115" s="921"/>
      <c r="D115" s="921"/>
    </row>
    <row r="116" spans="1:4" ht="7.5" customHeight="1" x14ac:dyDescent="0.2">
      <c r="A116" s="922"/>
      <c r="B116" s="922"/>
      <c r="C116" s="922"/>
      <c r="D116" s="922"/>
    </row>
    <row r="117" spans="1:4" ht="54.75" customHeight="1" x14ac:dyDescent="0.2">
      <c r="A117" s="877" t="s">
        <v>485</v>
      </c>
      <c r="B117" s="877"/>
      <c r="C117" s="433" t="str">
        <f>C10</f>
        <v>Servente 44h COVID</v>
      </c>
      <c r="D117" s="434" t="str">
        <f>D10</f>
        <v>Servente 30h COVID</v>
      </c>
    </row>
    <row r="118" spans="1:4" ht="15.75" customHeight="1" x14ac:dyDescent="0.2">
      <c r="A118" s="900" t="s">
        <v>486</v>
      </c>
      <c r="B118" s="900"/>
      <c r="C118" s="435" t="s">
        <v>416</v>
      </c>
      <c r="D118" s="436" t="s">
        <v>416</v>
      </c>
    </row>
    <row r="119" spans="1:4" ht="14.25" customHeight="1" x14ac:dyDescent="0.2">
      <c r="A119" s="902" t="s">
        <v>487</v>
      </c>
      <c r="B119" s="902"/>
      <c r="C119" s="437">
        <f>C19</f>
        <v>1681.3920000000001</v>
      </c>
      <c r="D119" s="438">
        <f>D19</f>
        <v>1375.6843636363637</v>
      </c>
    </row>
    <row r="120" spans="1:4" ht="14.25" customHeight="1" x14ac:dyDescent="0.2">
      <c r="A120" s="904" t="s">
        <v>488</v>
      </c>
      <c r="B120" s="904"/>
      <c r="C120" s="439">
        <f>C49</f>
        <v>1802.2227733333334</v>
      </c>
      <c r="D120" s="440">
        <f>D49</f>
        <v>1504.8113599999999</v>
      </c>
    </row>
    <row r="121" spans="1:4" ht="14.25" customHeight="1" x14ac:dyDescent="0.2">
      <c r="A121" s="904" t="s">
        <v>489</v>
      </c>
      <c r="B121" s="904"/>
      <c r="C121" s="439">
        <f>C60</f>
        <v>110.13117599999998</v>
      </c>
      <c r="D121" s="440">
        <f>D60</f>
        <v>90.107325818181806</v>
      </c>
    </row>
    <row r="122" spans="1:4" ht="14.25" customHeight="1" x14ac:dyDescent="0.2">
      <c r="A122" s="904" t="s">
        <v>490</v>
      </c>
      <c r="B122" s="904"/>
      <c r="C122" s="439">
        <f>C80</f>
        <v>329.00285764875184</v>
      </c>
      <c r="D122" s="440">
        <f>D80</f>
        <v>267.95228694207935</v>
      </c>
    </row>
    <row r="123" spans="1:4" ht="15.75" customHeight="1" x14ac:dyDescent="0.2">
      <c r="A123" s="904" t="s">
        <v>491</v>
      </c>
      <c r="B123" s="904"/>
      <c r="C123" s="439">
        <f>C91</f>
        <v>515.5675</v>
      </c>
      <c r="D123" s="440">
        <f>D91</f>
        <v>493.78750000000002</v>
      </c>
    </row>
    <row r="124" spans="1:4" ht="15.75" customHeight="1" x14ac:dyDescent="0.2">
      <c r="A124" s="909" t="s">
        <v>492</v>
      </c>
      <c r="B124" s="909"/>
      <c r="C124" s="441">
        <f>SUM(C119:C123)</f>
        <v>4438.3163069820857</v>
      </c>
      <c r="D124" s="442">
        <f>SUM(D119:D123)</f>
        <v>3732.3428363966245</v>
      </c>
    </row>
    <row r="125" spans="1:4" ht="15.75" customHeight="1" x14ac:dyDescent="0.2">
      <c r="A125" s="906" t="s">
        <v>493</v>
      </c>
      <c r="B125" s="906"/>
      <c r="C125" s="443">
        <f t="shared" ref="C125:D128" si="4">C109</f>
        <v>1222.5948629105785</v>
      </c>
      <c r="D125" s="444">
        <f t="shared" si="4"/>
        <v>1028.1248254481447</v>
      </c>
    </row>
    <row r="126" spans="1:4" ht="15.75" customHeight="1" x14ac:dyDescent="0.2">
      <c r="A126" s="904" t="s">
        <v>494</v>
      </c>
      <c r="B126" s="904"/>
      <c r="C126" s="445">
        <f t="shared" si="4"/>
        <v>1287.1066711144836</v>
      </c>
      <c r="D126" s="446">
        <f t="shared" si="4"/>
        <v>1082.3751691728712</v>
      </c>
    </row>
    <row r="127" spans="1:4" ht="15.75" customHeight="1" x14ac:dyDescent="0.2">
      <c r="A127" s="904" t="s">
        <v>495</v>
      </c>
      <c r="B127" s="904"/>
      <c r="C127" s="445">
        <f t="shared" si="4"/>
        <v>1353.1057832539252</v>
      </c>
      <c r="D127" s="446">
        <f t="shared" si="4"/>
        <v>1137.8762412831825</v>
      </c>
    </row>
    <row r="128" spans="1:4" ht="15.75" customHeight="1" x14ac:dyDescent="0.2">
      <c r="A128" s="906" t="s">
        <v>496</v>
      </c>
      <c r="B128" s="906"/>
      <c r="C128" s="445">
        <f t="shared" si="4"/>
        <v>1420.6442332858321</v>
      </c>
      <c r="D128" s="446">
        <f t="shared" si="4"/>
        <v>1194.6717990403815</v>
      </c>
    </row>
    <row r="129" spans="1:4" ht="15.75" customHeight="1" x14ac:dyDescent="0.2">
      <c r="A129" s="447" t="s">
        <v>497</v>
      </c>
      <c r="B129" s="448"/>
      <c r="C129" s="449">
        <f>C124+C125</f>
        <v>5660.9111698926645</v>
      </c>
      <c r="D129" s="450">
        <f>D124+D125</f>
        <v>4760.4676618447693</v>
      </c>
    </row>
    <row r="130" spans="1:4" ht="15.75" customHeight="1" x14ac:dyDescent="0.2">
      <c r="A130" s="451" t="s">
        <v>498</v>
      </c>
      <c r="B130" s="452"/>
      <c r="C130" s="453">
        <f>C124+C126</f>
        <v>5725.4229780965688</v>
      </c>
      <c r="D130" s="454">
        <f>D124+D126</f>
        <v>4814.7180055694953</v>
      </c>
    </row>
    <row r="131" spans="1:4" ht="15.75" customHeight="1" x14ac:dyDescent="0.2">
      <c r="A131" s="451" t="s">
        <v>499</v>
      </c>
      <c r="B131" s="452"/>
      <c r="C131" s="453">
        <f>C124+C127</f>
        <v>5791.4220902360112</v>
      </c>
      <c r="D131" s="454">
        <f>D124+D127</f>
        <v>4870.219077679807</v>
      </c>
    </row>
    <row r="132" spans="1:4" ht="15.75" customHeight="1" x14ac:dyDescent="0.2">
      <c r="A132" s="451" t="s">
        <v>500</v>
      </c>
      <c r="B132" s="452"/>
      <c r="C132" s="453">
        <f>C124+C128</f>
        <v>5858.9605402679181</v>
      </c>
      <c r="D132" s="454">
        <f>D124+D128</f>
        <v>4927.0146354370063</v>
      </c>
    </row>
    <row r="133" spans="1:4" ht="15.75" customHeight="1" x14ac:dyDescent="0.2">
      <c r="A133" s="455" t="s">
        <v>501</v>
      </c>
      <c r="B133" s="456"/>
      <c r="C133" s="457">
        <f>C129/220</f>
        <v>25.731414408603019</v>
      </c>
      <c r="D133" s="508"/>
    </row>
    <row r="134" spans="1:4" ht="15.75" customHeight="1" x14ac:dyDescent="0.2">
      <c r="A134" s="458" t="s">
        <v>502</v>
      </c>
      <c r="B134" s="459"/>
      <c r="C134" s="460">
        <f>C130/220</f>
        <v>26.024649900438948</v>
      </c>
      <c r="D134" s="509"/>
    </row>
    <row r="135" spans="1:4" ht="15.75" customHeight="1" x14ac:dyDescent="0.2">
      <c r="A135" s="458" t="s">
        <v>503</v>
      </c>
      <c r="B135" s="459"/>
      <c r="C135" s="460">
        <f>C131/220</f>
        <v>26.32464586470914</v>
      </c>
      <c r="D135" s="509"/>
    </row>
    <row r="136" spans="1:4" ht="15.75" customHeight="1" x14ac:dyDescent="0.2">
      <c r="A136" s="461" t="s">
        <v>504</v>
      </c>
      <c r="B136" s="462"/>
      <c r="C136" s="463">
        <f>C132/220</f>
        <v>26.631638819399626</v>
      </c>
      <c r="D136" s="510"/>
    </row>
    <row r="137" spans="1:4" x14ac:dyDescent="0.2">
      <c r="A137" s="464"/>
    </row>
  </sheetData>
  <mergeCells count="26">
    <mergeCell ref="A21:D21"/>
    <mergeCell ref="A1:D1"/>
    <mergeCell ref="A2:D2"/>
    <mergeCell ref="A3:D3"/>
    <mergeCell ref="A9:D9"/>
    <mergeCell ref="A20:B20"/>
    <mergeCell ref="A120:B120"/>
    <mergeCell ref="A50:B50"/>
    <mergeCell ref="A51:D51"/>
    <mergeCell ref="A61:B61"/>
    <mergeCell ref="A62:D62"/>
    <mergeCell ref="A92:B92"/>
    <mergeCell ref="A109:A112"/>
    <mergeCell ref="A115:D115"/>
    <mergeCell ref="A116:D116"/>
    <mergeCell ref="A117:B117"/>
    <mergeCell ref="A118:B118"/>
    <mergeCell ref="A119:B119"/>
    <mergeCell ref="A126:B126"/>
    <mergeCell ref="A127:B127"/>
    <mergeCell ref="A128:B128"/>
    <mergeCell ref="A121:B121"/>
    <mergeCell ref="A122:B122"/>
    <mergeCell ref="A123:B123"/>
    <mergeCell ref="A124:B124"/>
    <mergeCell ref="A125:B12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7070"/>
  </sheetPr>
  <dimension ref="A1:ALZ147"/>
  <sheetViews>
    <sheetView zoomScale="80" zoomScaleNormal="80" workbookViewId="0">
      <pane xSplit="1" topLeftCell="B1" activePane="topRight" state="frozen"/>
      <selection pane="topRight" activeCell="N31" sqref="N31"/>
    </sheetView>
  </sheetViews>
  <sheetFormatPr defaultRowHeight="15" x14ac:dyDescent="0.25"/>
  <cols>
    <col min="1" max="1" width="26.5" style="238" customWidth="1"/>
    <col min="2" max="2" width="5.375" style="238" customWidth="1"/>
    <col min="3" max="20" width="9" style="238" customWidth="1"/>
    <col min="21" max="1001" width="9" style="195" customWidth="1"/>
    <col min="1002" max="1014" width="9" style="238" customWidth="1"/>
  </cols>
  <sheetData>
    <row r="1" spans="1:1003" x14ac:dyDescent="0.25">
      <c r="A1" s="195"/>
      <c r="B1" s="195"/>
      <c r="C1" s="861" t="s">
        <v>303</v>
      </c>
      <c r="D1" s="861"/>
      <c r="E1" s="861"/>
      <c r="F1" s="861"/>
      <c r="G1" s="862" t="s">
        <v>304</v>
      </c>
      <c r="H1" s="862"/>
      <c r="I1" s="862"/>
      <c r="J1" s="863" t="s">
        <v>305</v>
      </c>
      <c r="K1" s="863"/>
      <c r="L1" s="863"/>
      <c r="M1" s="195"/>
      <c r="N1" s="195"/>
      <c r="O1" s="195"/>
      <c r="P1" s="195"/>
      <c r="Q1" s="195"/>
      <c r="R1" s="195"/>
      <c r="S1" s="195"/>
      <c r="T1" s="195"/>
    </row>
    <row r="2" spans="1:1003" ht="55.5" customHeight="1" x14ac:dyDescent="0.25">
      <c r="A2" s="855" t="s">
        <v>312</v>
      </c>
      <c r="B2" s="924" t="s">
        <v>77</v>
      </c>
      <c r="C2" s="857" t="s">
        <v>314</v>
      </c>
      <c r="D2" s="842" t="s">
        <v>315</v>
      </c>
      <c r="E2" s="841" t="s">
        <v>316</v>
      </c>
      <c r="F2" s="864" t="s">
        <v>317</v>
      </c>
      <c r="G2" s="865" t="s">
        <v>318</v>
      </c>
      <c r="H2" s="837" t="s">
        <v>367</v>
      </c>
      <c r="I2" s="866" t="s">
        <v>320</v>
      </c>
      <c r="J2" s="867" t="s">
        <v>321</v>
      </c>
      <c r="K2" s="850" t="s">
        <v>322</v>
      </c>
      <c r="L2" s="868" t="s">
        <v>323</v>
      </c>
      <c r="M2" s="925" t="s">
        <v>368</v>
      </c>
      <c r="N2" s="859" t="s">
        <v>369</v>
      </c>
      <c r="O2" s="859"/>
      <c r="P2" s="860" t="s">
        <v>370</v>
      </c>
      <c r="Q2" s="860"/>
      <c r="R2" s="256" t="s">
        <v>371</v>
      </c>
      <c r="S2" s="257" t="s">
        <v>372</v>
      </c>
      <c r="T2" s="511" t="s">
        <v>373</v>
      </c>
      <c r="ALN2" s="195"/>
      <c r="ALO2" s="195"/>
    </row>
    <row r="3" spans="1:1003" ht="26.25" customHeight="1" x14ac:dyDescent="0.25">
      <c r="A3" s="855"/>
      <c r="B3" s="924"/>
      <c r="C3" s="857"/>
      <c r="D3" s="842"/>
      <c r="E3" s="841"/>
      <c r="F3" s="864"/>
      <c r="G3" s="865"/>
      <c r="H3" s="837"/>
      <c r="I3" s="866"/>
      <c r="J3" s="867"/>
      <c r="K3" s="850"/>
      <c r="L3" s="868"/>
      <c r="M3" s="925"/>
      <c r="N3" s="258" t="s">
        <v>374</v>
      </c>
      <c r="O3" s="255" t="s">
        <v>375</v>
      </c>
      <c r="P3" s="259" t="s">
        <v>374</v>
      </c>
      <c r="Q3" s="260" t="s">
        <v>375</v>
      </c>
      <c r="R3" s="261" t="s">
        <v>376</v>
      </c>
      <c r="S3" s="262" t="s">
        <v>376</v>
      </c>
      <c r="T3" s="512" t="s">
        <v>377</v>
      </c>
      <c r="ALN3" s="195"/>
      <c r="ALO3" s="195"/>
    </row>
    <row r="4" spans="1:1003" ht="15" customHeight="1" x14ac:dyDescent="0.25">
      <c r="A4" s="513" t="s">
        <v>84</v>
      </c>
      <c r="B4" s="514">
        <f>'Resumo Proposta'!D24</f>
        <v>0.05</v>
      </c>
      <c r="C4" s="515">
        <v>2821</v>
      </c>
      <c r="D4" s="516">
        <v>203</v>
      </c>
      <c r="E4" s="516"/>
      <c r="F4" s="516">
        <v>96.31</v>
      </c>
      <c r="G4" s="516">
        <v>746.9</v>
      </c>
      <c r="H4" s="265"/>
      <c r="I4" s="265"/>
      <c r="J4" s="265"/>
      <c r="K4" s="265"/>
      <c r="L4" s="517">
        <v>1152.56</v>
      </c>
      <c r="M4" s="518">
        <f t="shared" ref="M4:M16" si="0">C4/$C$18+D4/$D$18+E4/$E$18+F4/$F$18+G4/$G$18+H4/$H$18+I4/$I$18+K4/(($K$18*188.76)/16)+L4/(($L$18*188.76)/16)</f>
        <v>4.7560534788443887</v>
      </c>
      <c r="N4" s="576" t="s">
        <v>397</v>
      </c>
      <c r="O4" s="577">
        <v>6</v>
      </c>
      <c r="P4" s="580">
        <v>2</v>
      </c>
      <c r="Q4" s="580"/>
      <c r="R4" s="270">
        <v>3</v>
      </c>
      <c r="S4" s="271">
        <v>3</v>
      </c>
      <c r="T4" s="519">
        <v>10</v>
      </c>
    </row>
    <row r="5" spans="1:1003" ht="15" customHeight="1" x14ac:dyDescent="0.25">
      <c r="A5" s="520" t="s">
        <v>86</v>
      </c>
      <c r="B5" s="521">
        <f>'Resumo Proposta'!D25</f>
        <v>0.05</v>
      </c>
      <c r="C5" s="522">
        <v>165</v>
      </c>
      <c r="D5" s="523">
        <v>1835</v>
      </c>
      <c r="E5" s="524"/>
      <c r="F5" s="524">
        <v>24.5</v>
      </c>
      <c r="G5" s="524">
        <v>135</v>
      </c>
      <c r="H5" s="265"/>
      <c r="I5" s="265"/>
      <c r="J5" s="265"/>
      <c r="K5" s="265"/>
      <c r="L5" s="525">
        <v>30</v>
      </c>
      <c r="M5" s="526">
        <f t="shared" si="0"/>
        <v>1.6124827823691461</v>
      </c>
      <c r="N5" s="578">
        <v>2</v>
      </c>
      <c r="O5" s="579"/>
      <c r="P5" s="581" t="s">
        <v>397</v>
      </c>
      <c r="Q5" s="581" t="s">
        <v>397</v>
      </c>
      <c r="R5" s="274">
        <v>3</v>
      </c>
      <c r="S5" s="275">
        <v>3</v>
      </c>
      <c r="T5" s="527"/>
    </row>
    <row r="6" spans="1:1003" ht="15" customHeight="1" x14ac:dyDescent="0.25">
      <c r="A6" s="520" t="s">
        <v>88</v>
      </c>
      <c r="B6" s="521">
        <f>'Resumo Proposta'!D26</f>
        <v>0.03</v>
      </c>
      <c r="C6" s="528">
        <v>1516</v>
      </c>
      <c r="D6" s="524">
        <v>666.5</v>
      </c>
      <c r="E6" s="524">
        <v>542.46</v>
      </c>
      <c r="F6" s="524">
        <v>60.67</v>
      </c>
      <c r="G6" s="524">
        <v>700</v>
      </c>
      <c r="H6" s="265"/>
      <c r="I6" s="265"/>
      <c r="J6" s="265"/>
      <c r="K6" s="265"/>
      <c r="L6" s="525">
        <v>241.7</v>
      </c>
      <c r="M6" s="526">
        <f t="shared" si="0"/>
        <v>3.4733508617644984</v>
      </c>
      <c r="N6" s="578" t="s">
        <v>397</v>
      </c>
      <c r="O6" s="579">
        <v>3</v>
      </c>
      <c r="P6" s="581" t="s">
        <v>397</v>
      </c>
      <c r="Q6" s="581">
        <v>1</v>
      </c>
      <c r="R6" s="274">
        <v>3</v>
      </c>
      <c r="S6" s="275">
        <v>3</v>
      </c>
      <c r="T6" s="529"/>
    </row>
    <row r="7" spans="1:1003" ht="15" customHeight="1" x14ac:dyDescent="0.25">
      <c r="A7" s="520" t="s">
        <v>90</v>
      </c>
      <c r="B7" s="521">
        <f>'Resumo Proposta'!D27</f>
        <v>0.04</v>
      </c>
      <c r="C7" s="522">
        <v>467</v>
      </c>
      <c r="D7" s="524">
        <v>48</v>
      </c>
      <c r="E7" s="524"/>
      <c r="F7" s="524">
        <v>24.24</v>
      </c>
      <c r="G7" s="524">
        <v>806</v>
      </c>
      <c r="H7" s="265"/>
      <c r="I7" s="265"/>
      <c r="J7" s="265"/>
      <c r="K7" s="265"/>
      <c r="L7" s="525">
        <v>111.2</v>
      </c>
      <c r="M7" s="526">
        <f t="shared" si="0"/>
        <v>1.0783690859645405</v>
      </c>
      <c r="N7" s="578" t="s">
        <v>397</v>
      </c>
      <c r="O7" s="579">
        <v>1</v>
      </c>
      <c r="P7" s="581">
        <v>1</v>
      </c>
      <c r="Q7" s="581" t="s">
        <v>397</v>
      </c>
      <c r="R7" s="274">
        <v>3</v>
      </c>
      <c r="S7" s="275">
        <v>3</v>
      </c>
      <c r="T7" s="529"/>
    </row>
    <row r="8" spans="1:1003" ht="15" customHeight="1" x14ac:dyDescent="0.25">
      <c r="A8" s="520" t="s">
        <v>92</v>
      </c>
      <c r="B8" s="521">
        <f>'Resumo Proposta'!D28</f>
        <v>0.05</v>
      </c>
      <c r="C8" s="522">
        <v>809.64</v>
      </c>
      <c r="D8" s="524">
        <v>125</v>
      </c>
      <c r="E8" s="524"/>
      <c r="F8" s="524">
        <v>29.38</v>
      </c>
      <c r="G8" s="524">
        <v>79.42</v>
      </c>
      <c r="H8" s="265"/>
      <c r="I8" s="265"/>
      <c r="J8" s="265"/>
      <c r="K8" s="265"/>
      <c r="L8" s="525">
        <v>74.61</v>
      </c>
      <c r="M8" s="526">
        <f t="shared" si="0"/>
        <v>1.2939102246238607</v>
      </c>
      <c r="N8" s="578">
        <v>1</v>
      </c>
      <c r="O8" s="579"/>
      <c r="P8" s="581" t="s">
        <v>397</v>
      </c>
      <c r="Q8" s="581" t="s">
        <v>397</v>
      </c>
      <c r="R8" s="274">
        <v>3</v>
      </c>
      <c r="S8" s="275">
        <v>3</v>
      </c>
      <c r="T8" s="529"/>
      <c r="U8" s="278"/>
    </row>
    <row r="9" spans="1:1003" ht="15" customHeight="1" x14ac:dyDescent="0.25">
      <c r="A9" s="520" t="s">
        <v>94</v>
      </c>
      <c r="B9" s="521">
        <f>'Resumo Proposta'!D29</f>
        <v>0.04</v>
      </c>
      <c r="C9" s="522"/>
      <c r="D9" s="524">
        <f>30+519.3</f>
        <v>549.29999999999995</v>
      </c>
      <c r="E9" s="524"/>
      <c r="F9" s="524">
        <v>22.51</v>
      </c>
      <c r="G9" s="524">
        <v>521</v>
      </c>
      <c r="H9" s="265"/>
      <c r="I9" s="265"/>
      <c r="J9" s="265"/>
      <c r="K9" s="265"/>
      <c r="L9" s="525">
        <v>102.1</v>
      </c>
      <c r="M9" s="526">
        <f t="shared" si="0"/>
        <v>0.70798253514162601</v>
      </c>
      <c r="N9" s="578">
        <v>1</v>
      </c>
      <c r="O9" s="579"/>
      <c r="P9" s="581" t="s">
        <v>397</v>
      </c>
      <c r="Q9" s="581" t="s">
        <v>397</v>
      </c>
      <c r="R9" s="274">
        <v>3</v>
      </c>
      <c r="S9" s="275">
        <v>3</v>
      </c>
      <c r="T9" s="529"/>
    </row>
    <row r="10" spans="1:1003" ht="15" customHeight="1" x14ac:dyDescent="0.25">
      <c r="A10" s="520" t="s">
        <v>96</v>
      </c>
      <c r="B10" s="521">
        <f>'Resumo Proposta'!D30</f>
        <v>0.03</v>
      </c>
      <c r="C10" s="528">
        <v>1313</v>
      </c>
      <c r="D10" s="524"/>
      <c r="E10" s="523">
        <v>2211</v>
      </c>
      <c r="F10" s="524">
        <v>68.430000000000007</v>
      </c>
      <c r="G10" s="524">
        <v>307.11</v>
      </c>
      <c r="H10" s="265"/>
      <c r="I10" s="265"/>
      <c r="J10" s="265"/>
      <c r="K10" s="265"/>
      <c r="L10" s="525">
        <v>730.59</v>
      </c>
      <c r="M10" s="526">
        <f t="shared" si="0"/>
        <v>4.3179443208306845</v>
      </c>
      <c r="N10" s="578" t="s">
        <v>397</v>
      </c>
      <c r="O10" s="579">
        <v>4</v>
      </c>
      <c r="P10" s="581">
        <v>1</v>
      </c>
      <c r="Q10" s="581">
        <v>1</v>
      </c>
      <c r="R10" s="274">
        <v>3</v>
      </c>
      <c r="S10" s="275">
        <v>3</v>
      </c>
      <c r="T10" s="529"/>
    </row>
    <row r="11" spans="1:1003" ht="15" customHeight="1" x14ac:dyDescent="0.25">
      <c r="A11" s="520" t="s">
        <v>98</v>
      </c>
      <c r="B11" s="521">
        <f>'Resumo Proposta'!D31</f>
        <v>0.03</v>
      </c>
      <c r="C11" s="522">
        <v>498</v>
      </c>
      <c r="D11" s="524">
        <v>58</v>
      </c>
      <c r="E11" s="524"/>
      <c r="F11" s="524">
        <v>17.52</v>
      </c>
      <c r="G11" s="524">
        <v>107.15</v>
      </c>
      <c r="H11" s="265"/>
      <c r="I11" s="265"/>
      <c r="J11" s="265"/>
      <c r="K11" s="265"/>
      <c r="L11" s="525">
        <v>115.3</v>
      </c>
      <c r="M11" s="526">
        <f t="shared" si="0"/>
        <v>0.82255572861481951</v>
      </c>
      <c r="N11" s="578">
        <v>1</v>
      </c>
      <c r="O11" s="579"/>
      <c r="P11" s="581" t="s">
        <v>397</v>
      </c>
      <c r="Q11" s="581" t="s">
        <v>397</v>
      </c>
      <c r="R11" s="274">
        <v>3</v>
      </c>
      <c r="S11" s="275">
        <v>3</v>
      </c>
      <c r="T11" s="529"/>
      <c r="U11" s="278"/>
    </row>
    <row r="12" spans="1:1003" ht="15" customHeight="1" x14ac:dyDescent="0.25">
      <c r="A12" s="520" t="s">
        <v>100</v>
      </c>
      <c r="B12" s="521">
        <f>'Resumo Proposta'!D32</f>
        <v>0.05</v>
      </c>
      <c r="C12" s="522">
        <v>276</v>
      </c>
      <c r="D12" s="524">
        <v>74</v>
      </c>
      <c r="E12" s="524"/>
      <c r="F12" s="524">
        <v>15.55</v>
      </c>
      <c r="G12" s="524">
        <v>59</v>
      </c>
      <c r="H12" s="265"/>
      <c r="I12" s="265"/>
      <c r="J12" s="265"/>
      <c r="K12" s="265"/>
      <c r="L12" s="525">
        <v>97.57</v>
      </c>
      <c r="M12" s="526">
        <f t="shared" si="0"/>
        <v>0.52234362859362859</v>
      </c>
      <c r="N12" s="578">
        <v>1</v>
      </c>
      <c r="O12" s="782"/>
      <c r="P12" s="581" t="s">
        <v>397</v>
      </c>
      <c r="Q12" s="581" t="s">
        <v>397</v>
      </c>
      <c r="R12" s="274">
        <v>3</v>
      </c>
      <c r="S12" s="275">
        <v>3</v>
      </c>
      <c r="T12" s="529"/>
      <c r="U12" s="278"/>
    </row>
    <row r="13" spans="1:1003" ht="15" customHeight="1" x14ac:dyDescent="0.25">
      <c r="A13" s="520" t="s">
        <v>102</v>
      </c>
      <c r="B13" s="521">
        <f>'Resumo Proposta'!D33</f>
        <v>0.03</v>
      </c>
      <c r="C13" s="522"/>
      <c r="D13" s="524">
        <f>405+364.2</f>
        <v>769.2</v>
      </c>
      <c r="E13" s="524">
        <v>800.46</v>
      </c>
      <c r="F13" s="524">
        <v>27.5</v>
      </c>
      <c r="G13" s="524">
        <v>484.58</v>
      </c>
      <c r="H13" s="265"/>
      <c r="I13" s="265"/>
      <c r="J13" s="265"/>
      <c r="K13" s="265"/>
      <c r="L13" s="525">
        <v>142.80000000000001</v>
      </c>
      <c r="M13" s="526">
        <f t="shared" si="0"/>
        <v>1.6047153634244542</v>
      </c>
      <c r="N13" s="578">
        <v>1</v>
      </c>
      <c r="O13" s="579"/>
      <c r="P13" s="581" t="s">
        <v>397</v>
      </c>
      <c r="Q13" s="581" t="s">
        <v>397</v>
      </c>
      <c r="R13" s="274">
        <v>3</v>
      </c>
      <c r="S13" s="275">
        <v>3</v>
      </c>
      <c r="T13" s="529"/>
    </row>
    <row r="14" spans="1:1003" ht="15" customHeight="1" x14ac:dyDescent="0.25">
      <c r="A14" s="520" t="s">
        <v>104</v>
      </c>
      <c r="B14" s="521">
        <f>'Resumo Proposta'!D34</f>
        <v>0.03</v>
      </c>
      <c r="C14" s="522">
        <v>334.4</v>
      </c>
      <c r="D14" s="524">
        <v>50</v>
      </c>
      <c r="E14" s="524"/>
      <c r="F14" s="524">
        <v>22.51</v>
      </c>
      <c r="G14" s="524">
        <v>521</v>
      </c>
      <c r="H14" s="265"/>
      <c r="I14" s="265"/>
      <c r="J14" s="265"/>
      <c r="K14" s="265"/>
      <c r="L14" s="525">
        <v>102.1</v>
      </c>
      <c r="M14" s="526">
        <f t="shared" si="0"/>
        <v>0.7931158684749593</v>
      </c>
      <c r="N14" s="578" t="s">
        <v>397</v>
      </c>
      <c r="O14" s="579">
        <v>1</v>
      </c>
      <c r="P14" s="581">
        <v>1</v>
      </c>
      <c r="Q14" s="581" t="s">
        <v>397</v>
      </c>
      <c r="R14" s="274">
        <v>3</v>
      </c>
      <c r="S14" s="275">
        <v>3</v>
      </c>
      <c r="T14" s="529"/>
    </row>
    <row r="15" spans="1:1003" ht="15" customHeight="1" x14ac:dyDescent="0.25">
      <c r="A15" s="520" t="s">
        <v>106</v>
      </c>
      <c r="B15" s="521">
        <f>'Resumo Proposta'!D35</f>
        <v>0.03</v>
      </c>
      <c r="C15" s="522">
        <v>334.4</v>
      </c>
      <c r="D15" s="524">
        <v>0</v>
      </c>
      <c r="E15" s="524">
        <v>0</v>
      </c>
      <c r="F15" s="524">
        <v>23.92</v>
      </c>
      <c r="G15" s="524">
        <v>977.7</v>
      </c>
      <c r="H15" s="265"/>
      <c r="I15" s="265"/>
      <c r="J15" s="265"/>
      <c r="K15" s="265"/>
      <c r="L15" s="525">
        <v>123.8</v>
      </c>
      <c r="M15" s="526">
        <f t="shared" si="0"/>
        <v>0.94861762379035108</v>
      </c>
      <c r="N15" s="578" t="s">
        <v>397</v>
      </c>
      <c r="O15" s="579">
        <v>1</v>
      </c>
      <c r="P15" s="581" t="s">
        <v>397</v>
      </c>
      <c r="Q15" s="581">
        <v>1</v>
      </c>
      <c r="R15" s="274">
        <v>3</v>
      </c>
      <c r="S15" s="275">
        <v>3</v>
      </c>
      <c r="T15" s="529"/>
    </row>
    <row r="16" spans="1:1003" ht="15" customHeight="1" x14ac:dyDescent="0.25">
      <c r="A16" s="530" t="s">
        <v>108</v>
      </c>
      <c r="B16" s="531">
        <f>'Resumo Proposta'!D36</f>
        <v>0.05</v>
      </c>
      <c r="C16" s="532">
        <v>334.4</v>
      </c>
      <c r="D16" s="533"/>
      <c r="E16" s="533"/>
      <c r="F16" s="533">
        <v>24.5</v>
      </c>
      <c r="G16" s="533">
        <v>865.6</v>
      </c>
      <c r="H16" s="265"/>
      <c r="I16" s="265"/>
      <c r="J16" s="265"/>
      <c r="K16" s="265"/>
      <c r="L16" s="534">
        <v>123.8</v>
      </c>
      <c r="M16" s="535">
        <f t="shared" si="0"/>
        <v>0.90840223917496643</v>
      </c>
      <c r="N16" s="578">
        <v>1</v>
      </c>
      <c r="O16" s="579"/>
      <c r="P16" s="581" t="s">
        <v>397</v>
      </c>
      <c r="Q16" s="581" t="s">
        <v>397</v>
      </c>
      <c r="R16" s="274">
        <v>3</v>
      </c>
      <c r="S16" s="275">
        <v>3</v>
      </c>
      <c r="T16" s="529"/>
    </row>
    <row r="17" spans="1:20" x14ac:dyDescent="0.25">
      <c r="A17" s="286" t="s">
        <v>379</v>
      </c>
      <c r="B17" s="536"/>
      <c r="C17" s="287">
        <f t="shared" ref="C17:T17" si="1">SUM(C4:C16)</f>
        <v>8868.84</v>
      </c>
      <c r="D17" s="288">
        <f t="shared" si="1"/>
        <v>4378</v>
      </c>
      <c r="E17" s="288">
        <f t="shared" si="1"/>
        <v>3553.92</v>
      </c>
      <c r="F17" s="288">
        <f t="shared" si="1"/>
        <v>457.54</v>
      </c>
      <c r="G17" s="288">
        <f t="shared" si="1"/>
        <v>6310.46</v>
      </c>
      <c r="H17" s="288">
        <f t="shared" si="1"/>
        <v>0</v>
      </c>
      <c r="I17" s="288">
        <f t="shared" si="1"/>
        <v>0</v>
      </c>
      <c r="J17" s="288">
        <f t="shared" si="1"/>
        <v>0</v>
      </c>
      <c r="K17" s="288">
        <f t="shared" si="1"/>
        <v>0</v>
      </c>
      <c r="L17" s="289">
        <f t="shared" si="1"/>
        <v>3148.1300000000006</v>
      </c>
      <c r="M17" s="537">
        <f t="shared" si="1"/>
        <v>22.839843741611922</v>
      </c>
      <c r="N17" s="291">
        <f t="shared" si="1"/>
        <v>8</v>
      </c>
      <c r="O17" s="291">
        <f t="shared" si="1"/>
        <v>16</v>
      </c>
      <c r="P17" s="293">
        <f t="shared" si="1"/>
        <v>5</v>
      </c>
      <c r="Q17" s="293">
        <f t="shared" si="1"/>
        <v>3</v>
      </c>
      <c r="R17" s="295">
        <f t="shared" si="1"/>
        <v>39</v>
      </c>
      <c r="S17" s="296">
        <f t="shared" si="1"/>
        <v>39</v>
      </c>
      <c r="T17" s="538">
        <f t="shared" si="1"/>
        <v>10</v>
      </c>
    </row>
    <row r="18" spans="1:20" x14ac:dyDescent="0.25">
      <c r="A18" s="297" t="s">
        <v>380</v>
      </c>
      <c r="B18" s="235"/>
      <c r="C18" s="539">
        <v>800</v>
      </c>
      <c r="D18" s="540">
        <v>1500</v>
      </c>
      <c r="E18" s="540">
        <v>1100</v>
      </c>
      <c r="F18" s="540">
        <v>200</v>
      </c>
      <c r="G18" s="540">
        <v>2600</v>
      </c>
      <c r="H18" s="540">
        <v>100000</v>
      </c>
      <c r="I18" s="540">
        <v>9000</v>
      </c>
      <c r="J18" s="540">
        <v>160</v>
      </c>
      <c r="K18" s="540">
        <v>300</v>
      </c>
      <c r="L18" s="541">
        <v>300</v>
      </c>
      <c r="M18" s="301"/>
      <c r="N18" s="302" t="s">
        <v>381</v>
      </c>
      <c r="O18" s="542">
        <f>N17+O17</f>
        <v>24</v>
      </c>
      <c r="P18" s="543" t="s">
        <v>381</v>
      </c>
      <c r="Q18" s="305">
        <f>P17+Q17</f>
        <v>8</v>
      </c>
      <c r="R18" s="306"/>
      <c r="S18" s="306"/>
      <c r="T18" s="306"/>
    </row>
    <row r="19" spans="1:20" x14ac:dyDescent="0.25">
      <c r="A19" s="307" t="s">
        <v>382</v>
      </c>
      <c r="B19" s="307"/>
      <c r="C19" s="308">
        <f t="shared" ref="C19:I19" si="2">C17/C18</f>
        <v>11.08605</v>
      </c>
      <c r="D19" s="309">
        <f t="shared" si="2"/>
        <v>2.9186666666666667</v>
      </c>
      <c r="E19" s="309">
        <f t="shared" si="2"/>
        <v>3.2308363636363637</v>
      </c>
      <c r="F19" s="309">
        <f t="shared" si="2"/>
        <v>2.2877000000000001</v>
      </c>
      <c r="G19" s="309">
        <f t="shared" si="2"/>
        <v>2.4270999999999998</v>
      </c>
      <c r="H19" s="309">
        <f t="shared" si="2"/>
        <v>0</v>
      </c>
      <c r="I19" s="309">
        <f t="shared" si="2"/>
        <v>0</v>
      </c>
      <c r="J19" s="309">
        <f>1/J18*8*1/1132.6*J17</f>
        <v>0</v>
      </c>
      <c r="K19" s="309">
        <f>1/K18*16*1/188.76*K17</f>
        <v>0</v>
      </c>
      <c r="L19" s="310">
        <f>1/L18*16*1/188.76*L17</f>
        <v>0.88949071130889334</v>
      </c>
      <c r="M19" s="311">
        <f>SUM(C19:L19)-J19</f>
        <v>22.839843741611926</v>
      </c>
      <c r="N19" s="312" t="s">
        <v>383</v>
      </c>
      <c r="O19" s="313">
        <f>O17+(N17*0.85)</f>
        <v>22.8</v>
      </c>
      <c r="P19" s="314"/>
      <c r="Q19" s="237"/>
      <c r="R19" s="237"/>
      <c r="S19" s="237"/>
      <c r="T19" s="237"/>
    </row>
    <row r="20" spans="1:20" ht="13.9" hidden="1" customHeight="1" x14ac:dyDescent="0.25">
      <c r="A20" s="315" t="s">
        <v>384</v>
      </c>
      <c r="B20" s="315"/>
      <c r="C20" s="316">
        <f t="shared" ref="C20:I20" si="3">ROUND(1/C18,9)</f>
        <v>1.25E-3</v>
      </c>
      <c r="D20" s="317">
        <f t="shared" si="3"/>
        <v>6.6666700000000002E-4</v>
      </c>
      <c r="E20" s="317">
        <f t="shared" si="3"/>
        <v>9.09091E-4</v>
      </c>
      <c r="F20" s="317">
        <f t="shared" si="3"/>
        <v>5.0000000000000001E-3</v>
      </c>
      <c r="G20" s="317">
        <f t="shared" si="3"/>
        <v>3.8461499999999999E-4</v>
      </c>
      <c r="H20" s="317">
        <f t="shared" si="3"/>
        <v>1.0000000000000001E-5</v>
      </c>
      <c r="I20" s="317">
        <f t="shared" si="3"/>
        <v>1.11111E-4</v>
      </c>
      <c r="J20" s="318">
        <f>(1/J18)*(1/L28)*8</f>
        <v>4.8611111111111115E-5</v>
      </c>
      <c r="K20" s="318">
        <f>(1/K18)*(1/L27)*16</f>
        <v>3.1111111111111113E-4</v>
      </c>
      <c r="L20" s="319">
        <f>(1/L18)*(1/L27)*16</f>
        <v>3.1111111111111113E-4</v>
      </c>
    </row>
    <row r="21" spans="1:20" ht="13.9" hidden="1" customHeight="1" x14ac:dyDescent="0.25">
      <c r="A21" s="320" t="s">
        <v>385</v>
      </c>
      <c r="B21" s="320"/>
      <c r="C21" s="321" t="e">
        <f>C20/#REF!</f>
        <v>#REF!</v>
      </c>
      <c r="D21" s="322" t="e">
        <f>D20/#REF!</f>
        <v>#REF!</v>
      </c>
      <c r="E21" s="322" t="e">
        <f>E20/#REF!</f>
        <v>#REF!</v>
      </c>
      <c r="F21" s="322" t="e">
        <f>F20/#REF!</f>
        <v>#REF!</v>
      </c>
      <c r="G21" s="322" t="e">
        <f>G20/#REF!</f>
        <v>#REF!</v>
      </c>
      <c r="H21" s="322" t="e">
        <f>H20/#REF!</f>
        <v>#REF!</v>
      </c>
      <c r="I21" s="322" t="e">
        <f>I20/#REF!</f>
        <v>#REF!</v>
      </c>
      <c r="J21" s="323" t="e">
        <f>J20/#REF!</f>
        <v>#REF!</v>
      </c>
      <c r="K21" s="323" t="e">
        <f>K20/#REF!</f>
        <v>#REF!</v>
      </c>
      <c r="L21" s="324" t="e">
        <f>L20/#REF!</f>
        <v>#REF!</v>
      </c>
    </row>
    <row r="22" spans="1:20" ht="13.9" hidden="1" customHeight="1" x14ac:dyDescent="0.25">
      <c r="A22" s="325" t="s">
        <v>386</v>
      </c>
      <c r="B22" s="325"/>
      <c r="C22" s="326" t="s">
        <v>387</v>
      </c>
      <c r="D22" s="327" t="s">
        <v>388</v>
      </c>
      <c r="E22" s="327" t="s">
        <v>389</v>
      </c>
      <c r="F22" s="327" t="s">
        <v>390</v>
      </c>
      <c r="G22" s="328" t="s">
        <v>391</v>
      </c>
      <c r="H22" s="329">
        <v>100000</v>
      </c>
      <c r="I22" s="328" t="s">
        <v>392</v>
      </c>
      <c r="J22" s="330" t="s">
        <v>393</v>
      </c>
      <c r="K22" s="330" t="s">
        <v>394</v>
      </c>
      <c r="L22" s="331" t="s">
        <v>394</v>
      </c>
    </row>
    <row r="23" spans="1:20" ht="13.9" hidden="1" customHeight="1" x14ac:dyDescent="0.25"/>
    <row r="24" spans="1:20" ht="13.9" hidden="1" customHeight="1" x14ac:dyDescent="0.25"/>
    <row r="25" spans="1:20" ht="13.9" hidden="1" customHeight="1" x14ac:dyDescent="0.25"/>
    <row r="26" spans="1:20" ht="13.9" hidden="1" customHeight="1" x14ac:dyDescent="0.25"/>
    <row r="27" spans="1:20" ht="13.9" hidden="1" customHeight="1" x14ac:dyDescent="0.25">
      <c r="J27" s="332">
        <f>30/7</f>
        <v>4.2857142857142856</v>
      </c>
      <c r="K27" s="332">
        <v>40</v>
      </c>
      <c r="L27" s="332">
        <f>J27*K27</f>
        <v>171.42857142857142</v>
      </c>
      <c r="M27" s="332"/>
      <c r="N27" s="332"/>
      <c r="O27" s="332"/>
      <c r="P27" s="332"/>
      <c r="Q27" s="332"/>
      <c r="R27" s="332"/>
      <c r="S27" s="332"/>
      <c r="T27" s="332"/>
    </row>
    <row r="28" spans="1:20" ht="13.9" hidden="1" customHeight="1" x14ac:dyDescent="0.25">
      <c r="J28" s="332"/>
      <c r="K28" s="332"/>
      <c r="L28" s="332">
        <f>L27*6</f>
        <v>1028.5714285714284</v>
      </c>
      <c r="M28" s="332" t="s">
        <v>395</v>
      </c>
      <c r="N28" s="332"/>
      <c r="O28" s="332"/>
      <c r="P28" s="332"/>
      <c r="Q28" s="332"/>
      <c r="R28" s="332"/>
      <c r="S28" s="332"/>
      <c r="T28" s="332"/>
    </row>
    <row r="29" spans="1:20" x14ac:dyDescent="0.25">
      <c r="C29" s="333" t="s">
        <v>387</v>
      </c>
      <c r="D29" s="334" t="s">
        <v>388</v>
      </c>
      <c r="E29" s="334" t="s">
        <v>389</v>
      </c>
      <c r="F29" s="334" t="s">
        <v>390</v>
      </c>
      <c r="G29" s="335" t="s">
        <v>391</v>
      </c>
      <c r="H29" s="336">
        <v>100000</v>
      </c>
      <c r="I29" s="335" t="s">
        <v>392</v>
      </c>
      <c r="J29" s="335" t="s">
        <v>393</v>
      </c>
      <c r="K29" s="337" t="s">
        <v>394</v>
      </c>
      <c r="L29" s="338" t="s">
        <v>394</v>
      </c>
    </row>
    <row r="147" spans="3:3" x14ac:dyDescent="0.25">
      <c r="C147" s="238">
        <f>C146/'Prod. GEXCRI'!O18</f>
        <v>0</v>
      </c>
    </row>
  </sheetData>
  <mergeCells count="18">
    <mergeCell ref="M2:M3"/>
    <mergeCell ref="N2:O2"/>
    <mergeCell ref="P2:Q2"/>
    <mergeCell ref="C1:F1"/>
    <mergeCell ref="G1:I1"/>
    <mergeCell ref="J1:L1"/>
    <mergeCell ref="F2:F3"/>
    <mergeCell ref="G2:G3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E3"/>
  </mergeCells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MC</vt:lpstr>
      <vt:lpstr>Insumos</vt:lpstr>
      <vt:lpstr>Resumo Proposta</vt:lpstr>
      <vt:lpstr>Prod. GEXCHA</vt:lpstr>
      <vt:lpstr>GEXCHA Limp.Ord. </vt:lpstr>
      <vt:lpstr>GEXCHA Covid  </vt:lpstr>
      <vt:lpstr>GEXCHA Limp.Ord. APS Porto U.</vt:lpstr>
      <vt:lpstr>GEXCHA Covid APS Porto União</vt:lpstr>
      <vt:lpstr>Prod. GEXCRI</vt:lpstr>
      <vt:lpstr>GEXCRI Limp.Ord. </vt:lpstr>
      <vt:lpstr>GEXCRI Covid </vt:lpstr>
      <vt:lpstr>'Prod. GEXCHA'!_FiltrarBancodeDados</vt:lpstr>
      <vt:lpstr>'Prod. GEXCRI'!_FiltrarBancodeDados</vt:lpstr>
      <vt:lpstr>'GEXCHA Covid  '!Print_Area</vt:lpstr>
      <vt:lpstr>'GEXCHA Covid APS Porto União'!Print_Area</vt:lpstr>
      <vt:lpstr>'GEXCHA Limp.Ord. '!Print_Area</vt:lpstr>
      <vt:lpstr>'GEXCHA Limp.Ord. APS Porto U.'!Print_Area</vt:lpstr>
      <vt:lpstr>'GEXCRI Covid '!Print_Area</vt:lpstr>
      <vt:lpstr>'GEXCRI Limp.Ord. '!Print_Area</vt:lpstr>
      <vt:lpstr>MC!Print_Area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inss</cp:lastModifiedBy>
  <cp:revision>90</cp:revision>
  <dcterms:created xsi:type="dcterms:W3CDTF">2020-03-17T09:48:25Z</dcterms:created>
  <dcterms:modified xsi:type="dcterms:W3CDTF">2023-07-06T20:41:28Z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0x0101002802779F605D534DA1B3FC3D1B1B4DA1</vt:lpwstr>
  </property>
</Properties>
</file>